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دانشجویان ارشد\pHD\رضائی\paper\Biological Trace Element Research\"/>
    </mc:Choice>
  </mc:AlternateContent>
  <bookViews>
    <workbookView xWindow="0" yWindow="0" windowWidth="19440" windowHeight="7752"/>
  </bookViews>
  <sheets>
    <sheet name="tu" sheetId="1" r:id="rId1"/>
    <sheet name="C" sheetId="8" r:id="rId2"/>
    <sheet name="Cf" sheetId="9" r:id="rId3"/>
    <sheet name="EF" sheetId="4" r:id="rId4"/>
    <sheet name="Sheet3" sheetId="6" r:id="rId5"/>
    <sheet name="PI" sheetId="7" r:id="rId6"/>
    <sheet name="QTEL" sheetId="2" r:id="rId7"/>
    <sheet name="Qpel" sheetId="3" r:id="rId8"/>
    <sheet name="Sheet2" sheetId="11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6" i="1" l="1"/>
  <c r="AH17" i="1"/>
  <c r="AH18" i="1"/>
  <c r="AH19" i="1"/>
  <c r="AH20" i="1"/>
  <c r="AH21" i="1"/>
  <c r="AH22" i="1"/>
  <c r="T22" i="1"/>
  <c r="U22" i="1"/>
  <c r="V22" i="1"/>
  <c r="W22" i="1"/>
  <c r="X22" i="1"/>
  <c r="Y22" i="1"/>
  <c r="T29" i="1"/>
  <c r="U29" i="1"/>
  <c r="V29" i="1"/>
  <c r="W29" i="1"/>
  <c r="X29" i="1"/>
  <c r="Y29" i="1"/>
  <c r="T36" i="1"/>
  <c r="U36" i="1"/>
  <c r="V36" i="1"/>
  <c r="W36" i="1"/>
  <c r="X36" i="1"/>
  <c r="Y36" i="1"/>
  <c r="T43" i="1"/>
  <c r="U43" i="1"/>
  <c r="V43" i="1"/>
  <c r="W43" i="1"/>
  <c r="X43" i="1"/>
  <c r="Y43" i="1"/>
  <c r="T52" i="1"/>
  <c r="U52" i="1"/>
  <c r="V52" i="1"/>
  <c r="W52" i="1"/>
  <c r="X52" i="1"/>
  <c r="Y52" i="1"/>
  <c r="N24" i="9" l="1"/>
  <c r="AC5" i="9"/>
  <c r="AC6" i="9"/>
  <c r="AC7" i="9"/>
  <c r="AC8" i="9"/>
  <c r="AC4" i="9"/>
  <c r="AB5" i="9"/>
  <c r="AB6" i="9"/>
  <c r="AB7" i="9"/>
  <c r="AB8" i="9"/>
  <c r="AB4" i="9"/>
  <c r="Z4" i="9"/>
  <c r="AA4" i="9"/>
  <c r="Z5" i="9"/>
  <c r="AA5" i="9"/>
  <c r="Z6" i="9"/>
  <c r="AA6" i="9"/>
  <c r="Z7" i="9"/>
  <c r="AA7" i="9"/>
  <c r="Z8" i="9"/>
  <c r="AA8" i="9"/>
  <c r="Y5" i="9"/>
  <c r="Y6" i="9"/>
  <c r="Y7" i="9"/>
  <c r="Y8" i="9"/>
  <c r="Y4" i="9"/>
  <c r="U31" i="9"/>
  <c r="U30" i="9"/>
  <c r="V30" i="9"/>
  <c r="V31" i="9" s="1"/>
  <c r="W30" i="9"/>
  <c r="W31" i="9" s="1"/>
  <c r="X30" i="9"/>
  <c r="Y30" i="9"/>
  <c r="T30" i="9"/>
  <c r="T31" i="9" s="1"/>
  <c r="Z21" i="9" l="1"/>
  <c r="Z20" i="9"/>
  <c r="Z18" i="9"/>
  <c r="Z17" i="9"/>
  <c r="T4" i="2"/>
  <c r="S6" i="2"/>
  <c r="S5" i="2"/>
  <c r="Z19" i="9"/>
  <c r="AB16" i="9" l="1"/>
  <c r="L24" i="9" l="1"/>
  <c r="M24" i="9"/>
  <c r="O24" i="9"/>
  <c r="P24" i="9"/>
  <c r="L25" i="9"/>
  <c r="M25" i="9"/>
  <c r="N25" i="9"/>
  <c r="O25" i="9"/>
  <c r="P25" i="9"/>
  <c r="L26" i="9"/>
  <c r="M26" i="9"/>
  <c r="N26" i="9"/>
  <c r="O26" i="9"/>
  <c r="P26" i="9"/>
  <c r="L27" i="9"/>
  <c r="M27" i="9"/>
  <c r="N27" i="9"/>
  <c r="O27" i="9"/>
  <c r="P27" i="9"/>
  <c r="P23" i="9"/>
  <c r="O23" i="9"/>
  <c r="N23" i="9"/>
  <c r="M23" i="9"/>
  <c r="L23" i="9"/>
  <c r="K24" i="9"/>
  <c r="K25" i="9"/>
  <c r="K26" i="9"/>
  <c r="K27" i="9"/>
  <c r="K23" i="9"/>
  <c r="D26" i="9"/>
  <c r="E26" i="9"/>
  <c r="F26" i="9"/>
  <c r="G26" i="9"/>
  <c r="H26" i="9"/>
  <c r="D30" i="9"/>
  <c r="E30" i="9"/>
  <c r="F30" i="9"/>
  <c r="G30" i="9"/>
  <c r="H30" i="9"/>
  <c r="D34" i="9"/>
  <c r="E34" i="9"/>
  <c r="F34" i="9"/>
  <c r="G34" i="9"/>
  <c r="H34" i="9"/>
  <c r="C34" i="9"/>
  <c r="C30" i="9"/>
  <c r="C26" i="9"/>
  <c r="D22" i="9"/>
  <c r="E22" i="9"/>
  <c r="F22" i="9"/>
  <c r="G22" i="9"/>
  <c r="H22" i="9"/>
  <c r="D18" i="9"/>
  <c r="E18" i="9"/>
  <c r="F18" i="9"/>
  <c r="G18" i="9"/>
  <c r="H18" i="9"/>
  <c r="C22" i="9"/>
  <c r="C18" i="9"/>
  <c r="C11" i="9"/>
  <c r="D11" i="9"/>
  <c r="E11" i="9"/>
  <c r="F11" i="9"/>
  <c r="G11" i="9"/>
  <c r="H11" i="9"/>
  <c r="T12" i="8"/>
  <c r="U12" i="8"/>
  <c r="V12" i="8"/>
  <c r="W12" i="8"/>
  <c r="X12" i="8"/>
  <c r="Y12" i="8"/>
  <c r="U13" i="8"/>
  <c r="V13" i="8"/>
  <c r="W13" i="8"/>
  <c r="X13" i="8"/>
  <c r="Y13" i="8"/>
  <c r="U14" i="8"/>
  <c r="V14" i="8"/>
  <c r="W14" i="8"/>
  <c r="X14" i="8"/>
  <c r="Y14" i="8"/>
  <c r="U15" i="8"/>
  <c r="V15" i="8"/>
  <c r="W15" i="8"/>
  <c r="X15" i="8"/>
  <c r="Y15" i="8"/>
  <c r="U16" i="8"/>
  <c r="V16" i="8"/>
  <c r="W16" i="8"/>
  <c r="X16" i="8"/>
  <c r="Y16" i="8"/>
  <c r="U17" i="8"/>
  <c r="V17" i="8"/>
  <c r="W17" i="8"/>
  <c r="X17" i="8"/>
  <c r="Y17" i="8"/>
  <c r="T13" i="8"/>
  <c r="T14" i="8"/>
  <c r="T15" i="8"/>
  <c r="T16" i="8"/>
  <c r="T17" i="8"/>
  <c r="S16" i="8"/>
  <c r="S17" i="8"/>
  <c r="S13" i="8"/>
  <c r="S14" i="8"/>
  <c r="S15" i="8"/>
  <c r="S12" i="8"/>
  <c r="L5" i="8"/>
  <c r="M5" i="8"/>
  <c r="N5" i="8"/>
  <c r="O5" i="8"/>
  <c r="P5" i="8"/>
  <c r="Q5" i="8"/>
  <c r="L6" i="8"/>
  <c r="M6" i="8"/>
  <c r="N6" i="8"/>
  <c r="O6" i="8"/>
  <c r="P6" i="8"/>
  <c r="Q6" i="8"/>
  <c r="L7" i="8"/>
  <c r="M7" i="8"/>
  <c r="N7" i="8"/>
  <c r="O7" i="8"/>
  <c r="P7" i="8"/>
  <c r="Q7" i="8"/>
  <c r="L8" i="8"/>
  <c r="M8" i="8"/>
  <c r="N8" i="8"/>
  <c r="O8" i="8"/>
  <c r="P8" i="8"/>
  <c r="Q8" i="8"/>
  <c r="L9" i="8"/>
  <c r="M9" i="8"/>
  <c r="N9" i="8"/>
  <c r="O9" i="8"/>
  <c r="P9" i="8"/>
  <c r="Q9" i="8"/>
  <c r="L10" i="8"/>
  <c r="M10" i="8"/>
  <c r="N10" i="8"/>
  <c r="O10" i="8"/>
  <c r="P10" i="8"/>
  <c r="Q10" i="8"/>
  <c r="L11" i="8"/>
  <c r="M11" i="8"/>
  <c r="N11" i="8"/>
  <c r="O11" i="8"/>
  <c r="P11" i="8"/>
  <c r="Q11" i="8"/>
  <c r="L12" i="8"/>
  <c r="M12" i="8"/>
  <c r="N12" i="8"/>
  <c r="O12" i="8"/>
  <c r="P12" i="8"/>
  <c r="Q12" i="8"/>
  <c r="L13" i="8"/>
  <c r="M13" i="8"/>
  <c r="N13" i="8"/>
  <c r="O13" i="8"/>
  <c r="P13" i="8"/>
  <c r="Q13" i="8"/>
  <c r="L14" i="8"/>
  <c r="M14" i="8"/>
  <c r="N14" i="8"/>
  <c r="O14" i="8"/>
  <c r="P14" i="8"/>
  <c r="Q14" i="8"/>
  <c r="L15" i="8"/>
  <c r="M15" i="8"/>
  <c r="N15" i="8"/>
  <c r="O15" i="8"/>
  <c r="P15" i="8"/>
  <c r="Q15" i="8"/>
  <c r="L16" i="8"/>
  <c r="M16" i="8"/>
  <c r="N16" i="8"/>
  <c r="O16" i="8"/>
  <c r="P16" i="8"/>
  <c r="Q16" i="8"/>
  <c r="L17" i="8"/>
  <c r="M17" i="8"/>
  <c r="N17" i="8"/>
  <c r="O17" i="8"/>
  <c r="P17" i="8"/>
  <c r="Q17" i="8"/>
  <c r="L18" i="8"/>
  <c r="M18" i="8"/>
  <c r="N18" i="8"/>
  <c r="O18" i="8"/>
  <c r="P18" i="8"/>
  <c r="Q18" i="8"/>
  <c r="M4" i="8"/>
  <c r="N4" i="8"/>
  <c r="O4" i="8"/>
  <c r="P4" i="8"/>
  <c r="Q4" i="8"/>
  <c r="Q3" i="8"/>
  <c r="Y3" i="8" s="1"/>
  <c r="Y11" i="8" s="1"/>
  <c r="M3" i="8"/>
  <c r="U3" i="8" s="1"/>
  <c r="U11" i="8" s="1"/>
  <c r="N3" i="8"/>
  <c r="V3" i="8" s="1"/>
  <c r="V11" i="8" s="1"/>
  <c r="O3" i="8"/>
  <c r="W3" i="8" s="1"/>
  <c r="W11" i="8" s="1"/>
  <c r="P3" i="8"/>
  <c r="X3" i="8" s="1"/>
  <c r="X11" i="8" s="1"/>
  <c r="L3" i="8"/>
  <c r="T3" i="8" s="1"/>
  <c r="T11" i="8" s="1"/>
  <c r="L4" i="8"/>
  <c r="N9" i="1"/>
  <c r="N10" i="1"/>
  <c r="N8" i="1"/>
  <c r="N5" i="1"/>
  <c r="N6" i="1"/>
  <c r="N4" i="1"/>
  <c r="AA38" i="1"/>
  <c r="AB38" i="1"/>
  <c r="AC38" i="1"/>
  <c r="AD38" i="1"/>
  <c r="AE38" i="1"/>
  <c r="AF38" i="1"/>
  <c r="AA39" i="1"/>
  <c r="AB39" i="1"/>
  <c r="AC39" i="1"/>
  <c r="AD39" i="1"/>
  <c r="AE39" i="1"/>
  <c r="AF39" i="1"/>
  <c r="AB37" i="1"/>
  <c r="AC37" i="1"/>
  <c r="AD37" i="1"/>
  <c r="AE37" i="1"/>
  <c r="AF37" i="1"/>
  <c r="AA31" i="1"/>
  <c r="AB31" i="1"/>
  <c r="AC31" i="1"/>
  <c r="AD31" i="1"/>
  <c r="AE31" i="1"/>
  <c r="AF31" i="1"/>
  <c r="AA32" i="1"/>
  <c r="AB32" i="1"/>
  <c r="AC32" i="1"/>
  <c r="AD32" i="1"/>
  <c r="AE32" i="1"/>
  <c r="AF32" i="1"/>
  <c r="AB30" i="1"/>
  <c r="AC30" i="1"/>
  <c r="AD30" i="1"/>
  <c r="AE30" i="1"/>
  <c r="AF30" i="1"/>
  <c r="AA24" i="1"/>
  <c r="AB24" i="1"/>
  <c r="AC24" i="1"/>
  <c r="AD24" i="1"/>
  <c r="AE24" i="1"/>
  <c r="AF24" i="1"/>
  <c r="AA25" i="1"/>
  <c r="AB25" i="1"/>
  <c r="AC25" i="1"/>
  <c r="AD25" i="1"/>
  <c r="AE25" i="1"/>
  <c r="AF25" i="1"/>
  <c r="AB23" i="1"/>
  <c r="AC23" i="1"/>
  <c r="AD23" i="1"/>
  <c r="AE23" i="1"/>
  <c r="AF23" i="1"/>
  <c r="AA19" i="1"/>
  <c r="AI16" i="1" s="1"/>
  <c r="AA17" i="1"/>
  <c r="AB17" i="1"/>
  <c r="AC17" i="1"/>
  <c r="AD17" i="1"/>
  <c r="AE17" i="1"/>
  <c r="AF17" i="1"/>
  <c r="AA18" i="1"/>
  <c r="AB18" i="1"/>
  <c r="AC18" i="1"/>
  <c r="AD18" i="1"/>
  <c r="AE18" i="1"/>
  <c r="AF18" i="1"/>
  <c r="AB16" i="1"/>
  <c r="AC16" i="1"/>
  <c r="AC19" i="1" s="1"/>
  <c r="AK16" i="1" s="1"/>
  <c r="AD16" i="1"/>
  <c r="AE16" i="1"/>
  <c r="AE19" i="1" s="1"/>
  <c r="AM16" i="1" s="1"/>
  <c r="AF16" i="1"/>
  <c r="AA23" i="1"/>
  <c r="AA26" i="1"/>
  <c r="AI17" i="1" s="1"/>
  <c r="AA30" i="1"/>
  <c r="AA33" i="1"/>
  <c r="AI18" i="1" s="1"/>
  <c r="AA37" i="1"/>
  <c r="AA40" i="1"/>
  <c r="AI19" i="1" s="1"/>
  <c r="AA44" i="1"/>
  <c r="AA45" i="1"/>
  <c r="AA46" i="1"/>
  <c r="AA47" i="1"/>
  <c r="AI20" i="1" s="1"/>
  <c r="AA16" i="1"/>
  <c r="AF19" i="1" l="1"/>
  <c r="AN16" i="1" s="1"/>
  <c r="AD19" i="1"/>
  <c r="AL16" i="1" s="1"/>
  <c r="AB19" i="1"/>
  <c r="AJ16" i="1" s="1"/>
  <c r="M12" i="7"/>
  <c r="G11" i="7"/>
  <c r="G12" i="7" s="1"/>
  <c r="H10" i="7"/>
  <c r="H11" i="7" s="1"/>
  <c r="H12" i="7" s="1"/>
  <c r="I10" i="7"/>
  <c r="I11" i="7" s="1"/>
  <c r="I12" i="7" s="1"/>
  <c r="J10" i="7"/>
  <c r="J11" i="7" s="1"/>
  <c r="J12" i="7" s="1"/>
  <c r="K10" i="7"/>
  <c r="K11" i="7" s="1"/>
  <c r="K12" i="7" s="1"/>
  <c r="L10" i="7"/>
  <c r="L11" i="7" s="1"/>
  <c r="L12" i="7" s="1"/>
  <c r="G10" i="7"/>
  <c r="N9" i="7" l="1"/>
  <c r="N8" i="7"/>
  <c r="N7" i="7"/>
  <c r="N6" i="7"/>
  <c r="N5" i="7"/>
  <c r="M6" i="7"/>
  <c r="O6" i="7" s="1"/>
  <c r="P6" i="7" s="1"/>
  <c r="M7" i="7"/>
  <c r="O7" i="7" s="1"/>
  <c r="P7" i="7" s="1"/>
  <c r="M8" i="7"/>
  <c r="O8" i="7" s="1"/>
  <c r="P8" i="7" s="1"/>
  <c r="M9" i="7"/>
  <c r="O9" i="7" s="1"/>
  <c r="P9" i="7" s="1"/>
  <c r="M5" i="7"/>
  <c r="M10" i="7" s="1"/>
  <c r="N9" i="4"/>
  <c r="O9" i="4"/>
  <c r="P9" i="4"/>
  <c r="Q9" i="4"/>
  <c r="N10" i="4"/>
  <c r="O10" i="4"/>
  <c r="P10" i="4"/>
  <c r="Q10" i="4"/>
  <c r="M10" i="4"/>
  <c r="M9" i="4"/>
  <c r="N4" i="4"/>
  <c r="O4" i="4"/>
  <c r="P4" i="4"/>
  <c r="Q4" i="4"/>
  <c r="N5" i="4"/>
  <c r="O5" i="4"/>
  <c r="P5" i="4"/>
  <c r="Q5" i="4"/>
  <c r="N6" i="4"/>
  <c r="O6" i="4"/>
  <c r="P6" i="4"/>
  <c r="Q6" i="4"/>
  <c r="N7" i="4"/>
  <c r="O7" i="4"/>
  <c r="P7" i="4"/>
  <c r="Q7" i="4"/>
  <c r="N8" i="4"/>
  <c r="O8" i="4"/>
  <c r="P8" i="4"/>
  <c r="Q8" i="4"/>
  <c r="N3" i="4"/>
  <c r="O3" i="4"/>
  <c r="P3" i="4"/>
  <c r="Q3" i="4"/>
  <c r="M3" i="4"/>
  <c r="M8" i="4"/>
  <c r="M7" i="4"/>
  <c r="M6" i="4"/>
  <c r="M5" i="4"/>
  <c r="M4" i="4"/>
  <c r="M12" i="4" l="1"/>
  <c r="F19" i="4" s="1"/>
  <c r="L19" i="4" s="1"/>
  <c r="O5" i="7"/>
  <c r="P5" i="7" s="1"/>
  <c r="F18" i="4"/>
  <c r="Q12" i="4"/>
  <c r="J18" i="4" s="1"/>
  <c r="P12" i="4"/>
  <c r="I21" i="4" s="1"/>
  <c r="J19" i="4"/>
  <c r="O12" i="4"/>
  <c r="H18" i="4" s="1"/>
  <c r="N12" i="4"/>
  <c r="G21" i="4" s="1"/>
  <c r="F17" i="4"/>
  <c r="H21" i="4"/>
  <c r="J17" i="4"/>
  <c r="K9" i="3"/>
  <c r="P9" i="3" s="1"/>
  <c r="O11" i="3"/>
  <c r="N11" i="3"/>
  <c r="M11" i="3"/>
  <c r="L11" i="3"/>
  <c r="O10" i="3"/>
  <c r="N10" i="3"/>
  <c r="M10" i="3"/>
  <c r="L10" i="3"/>
  <c r="O9" i="3"/>
  <c r="N9" i="3"/>
  <c r="M9" i="3"/>
  <c r="L9" i="3"/>
  <c r="O8" i="3"/>
  <c r="N8" i="3"/>
  <c r="M8" i="3"/>
  <c r="L8" i="3"/>
  <c r="O7" i="3"/>
  <c r="N7" i="3"/>
  <c r="M7" i="3"/>
  <c r="L7" i="3"/>
  <c r="O6" i="3"/>
  <c r="N6" i="3"/>
  <c r="M6" i="3"/>
  <c r="L6" i="3"/>
  <c r="O5" i="3"/>
  <c r="N5" i="3"/>
  <c r="M5" i="3"/>
  <c r="L5" i="3"/>
  <c r="K6" i="3"/>
  <c r="P6" i="3" s="1"/>
  <c r="K7" i="3"/>
  <c r="P7" i="3" s="1"/>
  <c r="K8" i="3"/>
  <c r="P8" i="3" s="1"/>
  <c r="K10" i="3"/>
  <c r="P10" i="3" s="1"/>
  <c r="K11" i="3"/>
  <c r="P11" i="3" s="1"/>
  <c r="K5" i="3"/>
  <c r="P5" i="3" s="1"/>
  <c r="S11" i="3"/>
  <c r="S6" i="3"/>
  <c r="S7" i="3"/>
  <c r="S8" i="3"/>
  <c r="S9" i="3"/>
  <c r="S10" i="3"/>
  <c r="S5" i="3"/>
  <c r="L4" i="3"/>
  <c r="K3" i="3"/>
  <c r="L3" i="3"/>
  <c r="M3" i="3"/>
  <c r="N3" i="3"/>
  <c r="O3" i="3"/>
  <c r="S4" i="3"/>
  <c r="P6" i="2"/>
  <c r="P7" i="2"/>
  <c r="P8" i="2"/>
  <c r="P9" i="2"/>
  <c r="P10" i="2"/>
  <c r="P11" i="2"/>
  <c r="P5" i="2"/>
  <c r="O6" i="2"/>
  <c r="O7" i="2"/>
  <c r="O8" i="2"/>
  <c r="O9" i="2"/>
  <c r="O10" i="2"/>
  <c r="O11" i="2"/>
  <c r="O5" i="2"/>
  <c r="N6" i="2"/>
  <c r="N7" i="2"/>
  <c r="N8" i="2"/>
  <c r="N9" i="2"/>
  <c r="N10" i="2"/>
  <c r="N11" i="2"/>
  <c r="N5" i="2"/>
  <c r="M6" i="2"/>
  <c r="M7" i="2"/>
  <c r="M8" i="2"/>
  <c r="M9" i="2"/>
  <c r="M10" i="2"/>
  <c r="M11" i="2"/>
  <c r="M5" i="2"/>
  <c r="L6" i="2"/>
  <c r="Q6" i="2" s="1"/>
  <c r="T6" i="2" s="1"/>
  <c r="L7" i="2"/>
  <c r="Q7" i="2" s="1"/>
  <c r="T7" i="2" s="1"/>
  <c r="L8" i="2"/>
  <c r="Q8" i="2" s="1"/>
  <c r="T8" i="2" s="1"/>
  <c r="L9" i="2"/>
  <c r="Q9" i="2" s="1"/>
  <c r="T9" i="2" s="1"/>
  <c r="L10" i="2"/>
  <c r="Q10" i="2" s="1"/>
  <c r="T10" i="2" s="1"/>
  <c r="L11" i="2"/>
  <c r="Q11" i="2" s="1"/>
  <c r="T11" i="2" s="1"/>
  <c r="L5" i="2"/>
  <c r="Q5" i="2" s="1"/>
  <c r="T5" i="2" s="1"/>
  <c r="K7" i="2"/>
  <c r="S7" i="2" s="1"/>
  <c r="K8" i="2"/>
  <c r="S8" i="2" s="1"/>
  <c r="K9" i="2"/>
  <c r="S9" i="2" s="1"/>
  <c r="K10" i="2"/>
  <c r="S10" i="2" s="1"/>
  <c r="K11" i="2"/>
  <c r="S11" i="2" s="1"/>
  <c r="K4" i="2"/>
  <c r="L3" i="2"/>
  <c r="M3" i="2"/>
  <c r="N3" i="2"/>
  <c r="O3" i="2"/>
  <c r="P3" i="2"/>
  <c r="K3" i="2"/>
  <c r="S4" i="2" s="1"/>
  <c r="AS21" i="1"/>
  <c r="AS22" i="1"/>
  <c r="AS16" i="1"/>
  <c r="AT21" i="1"/>
  <c r="AT22" i="1"/>
  <c r="AT16" i="1"/>
  <c r="AR21" i="1"/>
  <c r="AR22" i="1"/>
  <c r="AR16" i="1"/>
  <c r="AQ21" i="1"/>
  <c r="AQ22" i="1"/>
  <c r="AQ16" i="1"/>
  <c r="AP17" i="1"/>
  <c r="AP18" i="1"/>
  <c r="AP19" i="1"/>
  <c r="AP20" i="1"/>
  <c r="AP21" i="1"/>
  <c r="AP22" i="1"/>
  <c r="AP16" i="1"/>
  <c r="AB40" i="1"/>
  <c r="AJ19" i="1" s="1"/>
  <c r="AQ19" i="1" s="1"/>
  <c r="AC40" i="1"/>
  <c r="AK19" i="1" s="1"/>
  <c r="AR19" i="1" s="1"/>
  <c r="AD40" i="1"/>
  <c r="AL19" i="1" s="1"/>
  <c r="AS19" i="1" s="1"/>
  <c r="AE40" i="1"/>
  <c r="AM19" i="1" s="1"/>
  <c r="AT19" i="1" s="1"/>
  <c r="AF40" i="1"/>
  <c r="AN19" i="1" s="1"/>
  <c r="AB33" i="1"/>
  <c r="AJ18" i="1" s="1"/>
  <c r="AQ18" i="1" s="1"/>
  <c r="AC33" i="1"/>
  <c r="AK18" i="1" s="1"/>
  <c r="AR18" i="1" s="1"/>
  <c r="AD33" i="1"/>
  <c r="AL18" i="1" s="1"/>
  <c r="AS18" i="1" s="1"/>
  <c r="AE33" i="1"/>
  <c r="AM18" i="1" s="1"/>
  <c r="AT18" i="1" s="1"/>
  <c r="AF33" i="1"/>
  <c r="AN18" i="1" s="1"/>
  <c r="AB26" i="1"/>
  <c r="AJ17" i="1" s="1"/>
  <c r="AQ17" i="1" s="1"/>
  <c r="AC26" i="1"/>
  <c r="AK17" i="1" s="1"/>
  <c r="AR17" i="1" s="1"/>
  <c r="AD26" i="1"/>
  <c r="AL17" i="1" s="1"/>
  <c r="AS17" i="1" s="1"/>
  <c r="AE26" i="1"/>
  <c r="AM17" i="1" s="1"/>
  <c r="AT17" i="1" s="1"/>
  <c r="AF26" i="1"/>
  <c r="AN17" i="1" s="1"/>
  <c r="O5" i="1"/>
  <c r="P5" i="1"/>
  <c r="Q5" i="1"/>
  <c r="R5" i="1"/>
  <c r="S5" i="1"/>
  <c r="O6" i="1"/>
  <c r="P6" i="1"/>
  <c r="Q6" i="1"/>
  <c r="R6" i="1"/>
  <c r="S6" i="1"/>
  <c r="O8" i="1"/>
  <c r="P8" i="1"/>
  <c r="Q8" i="1"/>
  <c r="R8" i="1"/>
  <c r="S8" i="1"/>
  <c r="O9" i="1"/>
  <c r="P9" i="1"/>
  <c r="Q9" i="1"/>
  <c r="R9" i="1"/>
  <c r="S9" i="1"/>
  <c r="O10" i="1"/>
  <c r="P10" i="1"/>
  <c r="Q10" i="1"/>
  <c r="R10" i="1"/>
  <c r="S10" i="1"/>
  <c r="O4" i="1"/>
  <c r="P4" i="1"/>
  <c r="Q4" i="1"/>
  <c r="R4" i="1"/>
  <c r="S4" i="1"/>
  <c r="L2" i="1"/>
  <c r="N2" i="1"/>
  <c r="O2" i="1"/>
  <c r="P2" i="1"/>
  <c r="Q2" i="1"/>
  <c r="R2" i="1"/>
  <c r="S2" i="1"/>
  <c r="K2" i="1"/>
  <c r="AQ14" i="1"/>
  <c r="AX14" i="1" s="1"/>
  <c r="AR14" i="1"/>
  <c r="AY14" i="1" s="1"/>
  <c r="AS14" i="1"/>
  <c r="AZ14" i="1" s="1"/>
  <c r="AT14" i="1"/>
  <c r="BA14" i="1" s="1"/>
  <c r="AP14" i="1"/>
  <c r="AW14" i="1" s="1"/>
  <c r="AB44" i="1"/>
  <c r="AC44" i="1"/>
  <c r="AD44" i="1"/>
  <c r="AE44" i="1"/>
  <c r="AF44" i="1"/>
  <c r="AB45" i="1"/>
  <c r="AC45" i="1"/>
  <c r="AD45" i="1"/>
  <c r="AE45" i="1"/>
  <c r="AF45" i="1"/>
  <c r="AB46" i="1"/>
  <c r="AC46" i="1"/>
  <c r="AD46" i="1"/>
  <c r="AE46" i="1"/>
  <c r="AF46" i="1"/>
  <c r="AB14" i="1"/>
  <c r="AC14" i="1"/>
  <c r="AD14" i="1"/>
  <c r="AE14" i="1"/>
  <c r="AF14" i="1"/>
  <c r="AA14" i="1"/>
  <c r="E11" i="1"/>
  <c r="O11" i="1" s="1"/>
  <c r="F11" i="1"/>
  <c r="P11" i="1" s="1"/>
  <c r="G11" i="1"/>
  <c r="Q11" i="1" s="1"/>
  <c r="H11" i="1"/>
  <c r="R11" i="1" s="1"/>
  <c r="I11" i="1"/>
  <c r="S11" i="1" s="1"/>
  <c r="D11" i="1"/>
  <c r="N11" i="1" s="1"/>
  <c r="E7" i="1"/>
  <c r="O7" i="1" s="1"/>
  <c r="F7" i="1"/>
  <c r="P7" i="1" s="1"/>
  <c r="G7" i="1"/>
  <c r="Q7" i="1" s="1"/>
  <c r="H7" i="1"/>
  <c r="R7" i="1" s="1"/>
  <c r="I7" i="1"/>
  <c r="S7" i="1" s="1"/>
  <c r="D7" i="1"/>
  <c r="N7" i="1" s="1"/>
  <c r="F21" i="4" l="1"/>
  <c r="F22" i="4" s="1"/>
  <c r="F23" i="4" s="1"/>
  <c r="F20" i="4"/>
  <c r="AU22" i="1"/>
  <c r="AW22" i="1" s="1"/>
  <c r="AZ22" i="1"/>
  <c r="AE47" i="1"/>
  <c r="AM20" i="1" s="1"/>
  <c r="AT20" i="1" s="1"/>
  <c r="AC47" i="1"/>
  <c r="AK20" i="1" s="1"/>
  <c r="AR20" i="1" s="1"/>
  <c r="AF47" i="1"/>
  <c r="AN20" i="1" s="1"/>
  <c r="AD47" i="1"/>
  <c r="AL20" i="1" s="1"/>
  <c r="AS20" i="1" s="1"/>
  <c r="AB47" i="1"/>
  <c r="AJ20" i="1" s="1"/>
  <c r="AQ20" i="1" s="1"/>
  <c r="AX22" i="1"/>
  <c r="AU17" i="1"/>
  <c r="AZ17" i="1" s="1"/>
  <c r="AU21" i="1"/>
  <c r="BA21" i="1" s="1"/>
  <c r="AU20" i="1"/>
  <c r="AW20" i="1" s="1"/>
  <c r="AU16" i="1"/>
  <c r="AX16" i="1" s="1"/>
  <c r="AU19" i="1"/>
  <c r="AZ19" i="1" s="1"/>
  <c r="AU18" i="1"/>
  <c r="BA18" i="1" s="1"/>
  <c r="I17" i="4"/>
  <c r="H17" i="4"/>
  <c r="J21" i="4"/>
  <c r="H19" i="4"/>
  <c r="G18" i="4"/>
  <c r="I19" i="4"/>
  <c r="I18" i="4"/>
  <c r="L18" i="4" s="1"/>
  <c r="J20" i="4"/>
  <c r="G19" i="4"/>
  <c r="L21" i="4"/>
  <c r="K21" i="4"/>
  <c r="M21" i="4" s="1"/>
  <c r="G20" i="4"/>
  <c r="H20" i="4"/>
  <c r="I20" i="4"/>
  <c r="G17" i="4"/>
  <c r="BA22" i="1" l="1"/>
  <c r="AY22" i="1"/>
  <c r="AZ16" i="1"/>
  <c r="AY21" i="1"/>
  <c r="AW16" i="1"/>
  <c r="J22" i="4"/>
  <c r="J23" i="4" s="1"/>
  <c r="AZ21" i="1"/>
  <c r="AY16" i="1"/>
  <c r="AW17" i="1"/>
  <c r="AW21" i="1"/>
  <c r="AY19" i="1"/>
  <c r="AX18" i="1"/>
  <c r="AY17" i="1"/>
  <c r="AX20" i="1"/>
  <c r="BA20" i="1"/>
  <c r="BA16" i="1"/>
  <c r="AX21" i="1"/>
  <c r="AW18" i="1"/>
  <c r="AX19" i="1"/>
  <c r="AY18" i="1"/>
  <c r="AX17" i="1"/>
  <c r="AX23" i="1" s="1"/>
  <c r="AW19" i="1"/>
  <c r="AW23" i="1"/>
  <c r="BA19" i="1"/>
  <c r="AZ18" i="1"/>
  <c r="BA17" i="1"/>
  <c r="AZ20" i="1"/>
  <c r="AY20" i="1"/>
  <c r="G22" i="4"/>
  <c r="G23" i="4" s="1"/>
  <c r="H22" i="4"/>
  <c r="H23" i="4" s="1"/>
  <c r="K19" i="4"/>
  <c r="M19" i="4" s="1"/>
  <c r="K18" i="4"/>
  <c r="M18" i="4" s="1"/>
  <c r="I22" i="4"/>
  <c r="I23" i="4" s="1"/>
  <c r="K20" i="4"/>
  <c r="L20" i="4"/>
  <c r="L17" i="4"/>
  <c r="K17" i="4"/>
  <c r="AZ23" i="1" l="1"/>
  <c r="BA23" i="1"/>
  <c r="AY23" i="1"/>
  <c r="M20" i="4"/>
  <c r="M17" i="4"/>
</calcChain>
</file>

<file path=xl/sharedStrings.xml><?xml version="1.0" encoding="utf-8"?>
<sst xmlns="http://schemas.openxmlformats.org/spreadsheetml/2006/main" count="293" uniqueCount="95">
  <si>
    <t>ایستگاه</t>
  </si>
  <si>
    <t>نمونه</t>
  </si>
  <si>
    <t>Pb</t>
  </si>
  <si>
    <t>Cu</t>
  </si>
  <si>
    <t>Ni</t>
  </si>
  <si>
    <t>Cd</t>
  </si>
  <si>
    <t>Zn</t>
  </si>
  <si>
    <t>Fe</t>
  </si>
  <si>
    <t>mg/l</t>
  </si>
  <si>
    <t xml:space="preserve">     </t>
  </si>
  <si>
    <t>g/l</t>
  </si>
  <si>
    <t xml:space="preserve"> 5-0</t>
  </si>
  <si>
    <t xml:space="preserve"> 5-10</t>
  </si>
  <si>
    <t>mean</t>
  </si>
  <si>
    <t xml:space="preserve"> 0-5</t>
  </si>
  <si>
    <t>شاهد 1</t>
  </si>
  <si>
    <t>شاهد 2</t>
  </si>
  <si>
    <t>mg/kg</t>
  </si>
  <si>
    <t>g/kg</t>
  </si>
  <si>
    <t>TU</t>
  </si>
  <si>
    <t>Pi</t>
  </si>
  <si>
    <t>CFAvg</t>
  </si>
  <si>
    <t>CfMax</t>
  </si>
  <si>
    <t>EF</t>
  </si>
  <si>
    <t>EF max</t>
  </si>
  <si>
    <t>MPI</t>
  </si>
  <si>
    <t>جدول 4-9: غلظت فلزات سنگین در رسوبات در معرض</t>
  </si>
  <si>
    <t>ایستگاه1</t>
  </si>
  <si>
    <t>ایستگاه2</t>
  </si>
  <si>
    <t>ایستگاه3</t>
  </si>
  <si>
    <t>ایستگاه4</t>
  </si>
  <si>
    <t>ایستگاه5</t>
  </si>
  <si>
    <t>Station</t>
  </si>
  <si>
    <t>PLI</t>
  </si>
  <si>
    <t>PLI zone</t>
  </si>
  <si>
    <t>QPEL</t>
  </si>
  <si>
    <t>QTEL</t>
  </si>
  <si>
    <t>آستانه خطر</t>
  </si>
  <si>
    <t>average</t>
  </si>
  <si>
    <t>tr</t>
  </si>
  <si>
    <t>Ei</t>
  </si>
  <si>
    <t>Ri</t>
  </si>
  <si>
    <t>Low risk</t>
  </si>
  <si>
    <t>medium Risk</t>
  </si>
  <si>
    <r>
      <t>ایستگا</t>
    </r>
    <r>
      <rPr>
        <b/>
        <sz val="14"/>
        <color rgb="FF000000"/>
        <rFont val="B Lotus"/>
        <charset val="178"/>
      </rPr>
      <t>ه</t>
    </r>
  </si>
  <si>
    <t>pH</t>
  </si>
  <si>
    <t>EC (µm/cm)</t>
  </si>
  <si>
    <t>Turbidity (NTU)</t>
  </si>
  <si>
    <r>
      <t>Temp (c</t>
    </r>
    <r>
      <rPr>
        <b/>
        <vertAlign val="superscript"/>
        <sz val="10"/>
        <color rgb="FF000000"/>
        <rFont val="Arial"/>
        <family val="2"/>
      </rPr>
      <t>0</t>
    </r>
    <r>
      <rPr>
        <b/>
        <sz val="10"/>
        <color rgb="FF000000"/>
        <rFont val="Arial"/>
        <family val="2"/>
      </rPr>
      <t>)</t>
    </r>
  </si>
  <si>
    <t>میانگین</t>
  </si>
  <si>
    <r>
      <t>60/7</t>
    </r>
    <r>
      <rPr>
        <sz val="12"/>
        <color theme="1"/>
        <rFont val="Times New Roman"/>
        <family val="1"/>
      </rPr>
      <t>±</t>
    </r>
    <r>
      <rPr>
        <sz val="12"/>
        <color theme="1"/>
        <rFont val="B Lotus"/>
        <charset val="178"/>
      </rPr>
      <t>11/0</t>
    </r>
  </si>
  <si>
    <r>
      <t>55617.07</t>
    </r>
    <r>
      <rPr>
        <sz val="12"/>
        <color theme="1"/>
        <rFont val="Times New Roman"/>
        <family val="1"/>
      </rPr>
      <t>±</t>
    </r>
  </si>
  <si>
    <r>
      <t>50/7</t>
    </r>
    <r>
      <rPr>
        <sz val="12"/>
        <color theme="1"/>
        <rFont val="Times New Roman"/>
        <family val="1"/>
      </rPr>
      <t>±</t>
    </r>
    <r>
      <rPr>
        <sz val="12"/>
        <color theme="1"/>
        <rFont val="B Lotus"/>
        <charset val="178"/>
      </rPr>
      <t>12/1</t>
    </r>
  </si>
  <si>
    <r>
      <t>33.69</t>
    </r>
    <r>
      <rPr>
        <sz val="12"/>
        <color theme="1"/>
        <rFont val="Times New Roman"/>
        <family val="1"/>
      </rPr>
      <t>±</t>
    </r>
  </si>
  <si>
    <t>انحراف معیار</t>
  </si>
  <si>
    <r>
      <t>223</t>
    </r>
    <r>
      <rPr>
        <sz val="12"/>
        <color theme="1"/>
        <rFont val="B Lotus"/>
        <charset val="178"/>
      </rPr>
      <t>/</t>
    </r>
    <r>
      <rPr>
        <sz val="12"/>
        <color theme="1"/>
        <rFont val="AlMutanabi"/>
        <charset val="2"/>
      </rPr>
      <t>74</t>
    </r>
  </si>
  <si>
    <t>شاهد</t>
  </si>
  <si>
    <r>
      <t>ایستگا</t>
    </r>
    <r>
      <rPr>
        <sz val="14"/>
        <color rgb="FF000000"/>
        <rFont val="B Lotus"/>
        <charset val="178"/>
      </rPr>
      <t>ه</t>
    </r>
  </si>
  <si>
    <t>TDS</t>
  </si>
  <si>
    <t>TSS</t>
  </si>
  <si>
    <t>SO4</t>
  </si>
  <si>
    <t>Na</t>
  </si>
  <si>
    <t>K</t>
  </si>
  <si>
    <t>Ca</t>
  </si>
  <si>
    <t>Mg</t>
  </si>
  <si>
    <t>SiO2</t>
  </si>
  <si>
    <t xml:space="preserve"> (NTU)</t>
  </si>
  <si>
    <t>temp</t>
  </si>
  <si>
    <t>Mann-Whitney U</t>
  </si>
  <si>
    <t>Wilcoxon W</t>
  </si>
  <si>
    <t>Z</t>
  </si>
  <si>
    <t>Asymp. Sig. (2-tailed)</t>
  </si>
  <si>
    <t>Exact Sig. [2*(1-tailed Sig.)]</t>
  </si>
  <si>
    <r>
      <t>.56</t>
    </r>
    <r>
      <rPr>
        <vertAlign val="superscript"/>
        <sz val="9"/>
        <color rgb="FF010205"/>
        <rFont val="Arial"/>
        <family val="2"/>
      </rPr>
      <t>b</t>
    </r>
  </si>
  <si>
    <r>
      <t>.010</t>
    </r>
    <r>
      <rPr>
        <vertAlign val="superscript"/>
        <sz val="9"/>
        <color rgb="FF010205"/>
        <rFont val="Arial"/>
        <family val="2"/>
      </rPr>
      <t>b</t>
    </r>
  </si>
  <si>
    <r>
      <t>.683</t>
    </r>
    <r>
      <rPr>
        <vertAlign val="superscript"/>
        <sz val="9"/>
        <color rgb="FF010205"/>
        <rFont val="Arial"/>
        <family val="2"/>
      </rPr>
      <t>b</t>
    </r>
  </si>
  <si>
    <r>
      <t>.87</t>
    </r>
    <r>
      <rPr>
        <vertAlign val="superscript"/>
        <sz val="9"/>
        <color rgb="FF010205"/>
        <rFont val="Arial"/>
        <family val="2"/>
      </rPr>
      <t>b</t>
    </r>
  </si>
  <si>
    <r>
      <t>.806</t>
    </r>
    <r>
      <rPr>
        <vertAlign val="superscript"/>
        <sz val="9"/>
        <color rgb="FF010205"/>
        <rFont val="Arial"/>
        <family val="2"/>
      </rPr>
      <t>b</t>
    </r>
  </si>
  <si>
    <r>
      <t>.000</t>
    </r>
    <r>
      <rPr>
        <vertAlign val="superscript"/>
        <sz val="9"/>
        <color rgb="FF010205"/>
        <rFont val="Arial"/>
        <family val="2"/>
      </rPr>
      <t>b</t>
    </r>
  </si>
  <si>
    <r>
      <t>1.000</t>
    </r>
    <r>
      <rPr>
        <vertAlign val="superscript"/>
        <sz val="9"/>
        <color rgb="FF010205"/>
        <rFont val="Arial"/>
        <family val="2"/>
      </rPr>
      <t>b</t>
    </r>
  </si>
  <si>
    <r>
      <t>.081</t>
    </r>
    <r>
      <rPr>
        <vertAlign val="superscript"/>
        <sz val="9"/>
        <color rgb="FF010205"/>
        <rFont val="Arial"/>
        <family val="2"/>
      </rPr>
      <t>b</t>
    </r>
  </si>
  <si>
    <t>a. Grouping Variable: group</t>
  </si>
  <si>
    <t>b. Not corrected for ties.</t>
  </si>
  <si>
    <t>tu/Ʃtu</t>
  </si>
  <si>
    <t>station</t>
  </si>
  <si>
    <t xml:space="preserve">Control1 </t>
  </si>
  <si>
    <t>Control2</t>
  </si>
  <si>
    <t>Ref</t>
  </si>
  <si>
    <t>Sampe</t>
  </si>
  <si>
    <t>ref</t>
  </si>
  <si>
    <t>sample</t>
  </si>
  <si>
    <r>
      <t>عمق (</t>
    </r>
    <r>
      <rPr>
        <sz val="12"/>
        <color rgb="FF000000"/>
        <rFont val="Times New Roman"/>
        <family val="1"/>
        <scheme val="major"/>
      </rPr>
      <t>cm</t>
    </r>
    <r>
      <rPr>
        <b/>
        <sz val="12"/>
        <color rgb="FF000000"/>
        <rFont val="Times New Roman"/>
        <family val="1"/>
        <scheme val="major"/>
      </rPr>
      <t>)</t>
    </r>
  </si>
  <si>
    <r>
      <t>Ʃ</t>
    </r>
    <r>
      <rPr>
        <sz val="12.3"/>
        <color theme="1"/>
        <rFont val="Times New Roman"/>
        <family val="1"/>
        <scheme val="major"/>
      </rPr>
      <t>tu</t>
    </r>
  </si>
  <si>
    <r>
      <t>D (</t>
    </r>
    <r>
      <rPr>
        <sz val="12"/>
        <color rgb="FF000000"/>
        <rFont val="Times New Roman"/>
        <family val="1"/>
        <scheme val="major"/>
      </rPr>
      <t>cm</t>
    </r>
    <r>
      <rPr>
        <b/>
        <sz val="13"/>
        <color rgb="FF000000"/>
        <rFont val="Times New Roman"/>
        <family val="1"/>
        <scheme val="major"/>
      </rPr>
      <t>)</t>
    </r>
  </si>
  <si>
    <t>samole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</si>
</sst>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E+00"/>
  </numFmts>
  <fonts count="35" x14ac:knownFonts="1">
    <font>
      <sz val="11"/>
      <color theme="1"/>
      <name val="Arial"/>
      <family val="2"/>
      <charset val="178"/>
      <scheme val="minor"/>
    </font>
    <font>
      <sz val="12"/>
      <color rgb="FF000000"/>
      <name val="Times New Roman"/>
      <family val="1"/>
    </font>
    <font>
      <b/>
      <sz val="13"/>
      <color rgb="FF000000"/>
      <name val="B Lotus"/>
      <charset val="178"/>
    </font>
    <font>
      <sz val="13"/>
      <color rgb="FF000000"/>
      <name val="B Lotus"/>
      <charset val="178"/>
    </font>
    <font>
      <sz val="11"/>
      <color theme="1"/>
      <name val="B Lotus"/>
      <charset val="178"/>
    </font>
    <font>
      <b/>
      <sz val="11"/>
      <color theme="1"/>
      <name val="Arial"/>
      <family val="2"/>
      <scheme val="minor"/>
    </font>
    <font>
      <sz val="13"/>
      <color theme="1"/>
      <name val="Times New Roman"/>
      <family val="1"/>
    </font>
    <font>
      <sz val="13"/>
      <color theme="1"/>
      <name val="B Lotus"/>
      <charset val="178"/>
    </font>
    <font>
      <sz val="14"/>
      <color theme="1"/>
      <name val="B Lotus"/>
      <charset val="178"/>
    </font>
    <font>
      <b/>
      <sz val="14"/>
      <color theme="1"/>
      <name val="B Lotus"/>
      <charset val="178"/>
    </font>
    <font>
      <sz val="11"/>
      <color theme="1"/>
      <name val="Calibri"/>
      <family val="2"/>
    </font>
    <font>
      <b/>
      <sz val="14"/>
      <color rgb="FF000000"/>
      <name val="B Lotus"/>
      <charset val="178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sz val="12"/>
      <color theme="1"/>
      <name val="AlMutanabi"/>
      <charset val="2"/>
    </font>
    <font>
      <sz val="10"/>
      <color rgb="FF000000"/>
      <name val="B Lotus"/>
      <charset val="178"/>
    </font>
    <font>
      <sz val="10"/>
      <color rgb="FF000000"/>
      <name val="Arial"/>
      <family val="2"/>
    </font>
    <font>
      <sz val="12"/>
      <color theme="1"/>
      <name val="B Lotus"/>
      <charset val="178"/>
    </font>
    <font>
      <sz val="12"/>
      <color theme="1"/>
      <name val="Times New Roman"/>
      <family val="1"/>
    </font>
    <font>
      <sz val="14"/>
      <color rgb="FF000000"/>
      <name val="B Lotus"/>
      <charset val="178"/>
    </font>
    <font>
      <sz val="11"/>
      <color rgb="FF000000"/>
      <name val="Arial"/>
      <family val="2"/>
    </font>
    <font>
      <sz val="9"/>
      <color rgb="FF264A60"/>
      <name val="Arial"/>
      <family val="2"/>
    </font>
    <font>
      <sz val="9"/>
      <color rgb="FF010205"/>
      <name val="Arial"/>
      <family val="2"/>
    </font>
    <font>
      <vertAlign val="superscript"/>
      <sz val="9"/>
      <color rgb="FF010205"/>
      <name val="Arial"/>
      <family val="2"/>
    </font>
    <font>
      <sz val="11"/>
      <color theme="1"/>
      <name val="Times New Roman"/>
      <family val="1"/>
      <scheme val="major"/>
    </font>
    <font>
      <b/>
      <sz val="13"/>
      <color rgb="FF000000"/>
      <name val="Times New Roman"/>
      <family val="1"/>
      <scheme val="major"/>
    </font>
    <font>
      <sz val="12"/>
      <color rgb="FF000000"/>
      <name val="Times New Roman"/>
      <family val="1"/>
      <scheme val="major"/>
    </font>
    <font>
      <sz val="13"/>
      <color rgb="FF000000"/>
      <name val="Times New Roman"/>
      <family val="1"/>
      <scheme val="major"/>
    </font>
    <font>
      <b/>
      <sz val="12"/>
      <color theme="1"/>
      <name val="Times New Roman"/>
      <family val="1"/>
      <scheme val="major"/>
    </font>
    <font>
      <b/>
      <sz val="11"/>
      <color rgb="FF000000"/>
      <name val="Times New Roman"/>
      <family val="1"/>
      <scheme val="major"/>
    </font>
    <font>
      <b/>
      <sz val="12"/>
      <color rgb="FF000000"/>
      <name val="Times New Roman"/>
      <family val="1"/>
      <scheme val="major"/>
    </font>
    <font>
      <sz val="11"/>
      <color rgb="FF000000"/>
      <name val="Times New Roman"/>
      <family val="1"/>
      <scheme val="major"/>
    </font>
    <font>
      <b/>
      <sz val="11"/>
      <color theme="1"/>
      <name val="Times New Roman"/>
      <family val="1"/>
      <scheme val="major"/>
    </font>
    <font>
      <sz val="14"/>
      <color theme="1"/>
      <name val="Times New Roman"/>
      <family val="1"/>
      <scheme val="major"/>
    </font>
    <font>
      <sz val="12.3"/>
      <color theme="1"/>
      <name val="Times New Roman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E0E0E0"/>
      </right>
      <top style="medium">
        <color indexed="64"/>
      </top>
      <bottom style="medium">
        <color indexed="64"/>
      </bottom>
      <diagonal/>
    </border>
    <border>
      <left/>
      <right style="medium">
        <color rgb="FFE0E0E0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1" xfId="0" applyFont="1" applyBorder="1" applyAlignment="1">
      <alignment horizontal="right" vertical="center" readingOrder="2"/>
    </xf>
    <xf numFmtId="0" fontId="2" fillId="0" borderId="1" xfId="0" applyFont="1" applyBorder="1" applyAlignment="1">
      <alignment horizontal="center" vertical="center" readingOrder="2"/>
    </xf>
    <xf numFmtId="0" fontId="1" fillId="0" borderId="1" xfId="0" applyFont="1" applyBorder="1" applyAlignment="1">
      <alignment horizontal="right" vertical="center" wrapText="1" readingOrder="2"/>
    </xf>
    <xf numFmtId="2" fontId="0" fillId="0" borderId="0" xfId="0" applyNumberFormat="1"/>
    <xf numFmtId="0" fontId="3" fillId="0" borderId="8" xfId="0" applyFont="1" applyFill="1" applyBorder="1" applyAlignment="1">
      <alignment horizontal="center" vertical="center" readingOrder="2"/>
    </xf>
    <xf numFmtId="2" fontId="0" fillId="0" borderId="8" xfId="0" applyNumberFormat="1" applyBorder="1" applyAlignment="1">
      <alignment horizontal="center"/>
    </xf>
    <xf numFmtId="0" fontId="3" fillId="0" borderId="10" xfId="0" applyFont="1" applyFill="1" applyBorder="1" applyAlignment="1">
      <alignment horizontal="center" vertical="center" readingOrder="2"/>
    </xf>
    <xf numFmtId="2" fontId="0" fillId="0" borderId="1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/>
    <xf numFmtId="2" fontId="3" fillId="0" borderId="0" xfId="0" applyNumberFormat="1" applyFont="1" applyBorder="1" applyAlignment="1">
      <alignment horizontal="center" vertical="center" readingOrder="2"/>
    </xf>
    <xf numFmtId="0" fontId="1" fillId="0" borderId="0" xfId="0" applyFont="1" applyFill="1" applyBorder="1" applyAlignment="1">
      <alignment horizontal="right" vertical="center" wrapText="1" readingOrder="2"/>
    </xf>
    <xf numFmtId="1" fontId="3" fillId="0" borderId="0" xfId="0" applyNumberFormat="1" applyFont="1" applyBorder="1" applyAlignment="1">
      <alignment horizontal="center" vertical="center" readingOrder="2"/>
    </xf>
    <xf numFmtId="2" fontId="3" fillId="0" borderId="8" xfId="0" applyNumberFormat="1" applyFont="1" applyFill="1" applyBorder="1" applyAlignment="1">
      <alignment horizontal="center" vertical="center" readingOrder="2"/>
    </xf>
    <xf numFmtId="166" fontId="0" fillId="0" borderId="0" xfId="0" applyNumberFormat="1"/>
    <xf numFmtId="166" fontId="0" fillId="3" borderId="0" xfId="0" applyNumberFormat="1" applyFill="1"/>
    <xf numFmtId="0" fontId="5" fillId="4" borderId="0" xfId="0" applyFont="1" applyFill="1"/>
    <xf numFmtId="0" fontId="6" fillId="0" borderId="2" xfId="0" applyFont="1" applyBorder="1" applyAlignment="1">
      <alignment horizontal="center" vertical="center" readingOrder="1"/>
    </xf>
    <xf numFmtId="0" fontId="6" fillId="0" borderId="1" xfId="0" applyFont="1" applyBorder="1" applyAlignment="1">
      <alignment horizontal="center" vertical="center" readingOrder="1"/>
    </xf>
    <xf numFmtId="0" fontId="6" fillId="0" borderId="13" xfId="0" applyFont="1" applyBorder="1" applyAlignment="1">
      <alignment horizontal="center" vertical="center" readingOrder="1"/>
    </xf>
    <xf numFmtId="0" fontId="7" fillId="0" borderId="15" xfId="0" applyFont="1" applyBorder="1" applyAlignment="1">
      <alignment vertical="center" wrapText="1" readingOrder="2"/>
    </xf>
    <xf numFmtId="0" fontId="0" fillId="0" borderId="0" xfId="0" applyAlignment="1">
      <alignment readingOrder="2"/>
    </xf>
    <xf numFmtId="0" fontId="1" fillId="0" borderId="0" xfId="0" applyFont="1" applyFill="1" applyBorder="1" applyAlignment="1">
      <alignment horizontal="right" vertical="center" readingOrder="2"/>
    </xf>
    <xf numFmtId="0" fontId="0" fillId="0" borderId="19" xfId="0" applyBorder="1"/>
    <xf numFmtId="2" fontId="0" fillId="0" borderId="19" xfId="0" applyNumberFormat="1" applyBorder="1"/>
    <xf numFmtId="1" fontId="0" fillId="0" borderId="0" xfId="0" applyNumberFormat="1"/>
    <xf numFmtId="0" fontId="9" fillId="0" borderId="1" xfId="0" applyFont="1" applyBorder="1" applyAlignment="1">
      <alignment horizontal="right" vertical="center" readingOrder="2"/>
    </xf>
    <xf numFmtId="0" fontId="10" fillId="0" borderId="1" xfId="0" applyFont="1" applyBorder="1"/>
    <xf numFmtId="0" fontId="12" fillId="0" borderId="1" xfId="0" applyFont="1" applyBorder="1" applyAlignment="1">
      <alignment horizontal="center" vertical="center" readingOrder="1"/>
    </xf>
    <xf numFmtId="0" fontId="15" fillId="0" borderId="4" xfId="0" applyFont="1" applyBorder="1" applyAlignment="1">
      <alignment horizontal="center" vertical="center" wrapText="1" readingOrder="1"/>
    </xf>
    <xf numFmtId="0" fontId="17" fillId="0" borderId="4" xfId="0" applyFont="1" applyBorder="1" applyAlignment="1">
      <alignment horizontal="center" vertical="center" readingOrder="1"/>
    </xf>
    <xf numFmtId="0" fontId="14" fillId="0" borderId="4" xfId="0" applyFont="1" applyBorder="1" applyAlignment="1">
      <alignment horizontal="center" vertical="center" readingOrder="1"/>
    </xf>
    <xf numFmtId="0" fontId="10" fillId="0" borderId="4" xfId="0" applyFont="1" applyBorder="1"/>
    <xf numFmtId="0" fontId="15" fillId="0" borderId="4" xfId="0" applyFont="1" applyBorder="1" applyAlignment="1">
      <alignment horizontal="center" vertical="center" wrapText="1" readingOrder="2"/>
    </xf>
    <xf numFmtId="0" fontId="8" fillId="0" borderId="1" xfId="0" applyFont="1" applyBorder="1" applyAlignment="1">
      <alignment horizontal="left" vertical="center" readingOrder="2"/>
    </xf>
    <xf numFmtId="0" fontId="16" fillId="0" borderId="1" xfId="0" applyFont="1" applyBorder="1" applyAlignment="1">
      <alignment horizontal="left" vertical="center" readingOrder="2"/>
    </xf>
    <xf numFmtId="0" fontId="20" fillId="0" borderId="1" xfId="0" applyFont="1" applyBorder="1" applyAlignment="1">
      <alignment horizontal="left" vertical="center" readingOrder="2"/>
    </xf>
    <xf numFmtId="0" fontId="1" fillId="0" borderId="9" xfId="0" applyFont="1" applyBorder="1" applyAlignment="1">
      <alignment horizontal="center" vertical="center" wrapText="1" readingOrder="2"/>
    </xf>
    <xf numFmtId="0" fontId="1" fillId="0" borderId="11" xfId="0" applyFont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14" fillId="0" borderId="7" xfId="0" applyFont="1" applyBorder="1" applyAlignment="1">
      <alignment horizontal="center" vertical="center" wrapText="1" readingOrder="1"/>
    </xf>
    <xf numFmtId="0" fontId="14" fillId="0" borderId="4" xfId="0" applyFont="1" applyBorder="1" applyAlignment="1">
      <alignment horizontal="center" vertical="center" wrapText="1" readingOrder="1"/>
    </xf>
    <xf numFmtId="0" fontId="8" fillId="0" borderId="7" xfId="0" applyFont="1" applyBorder="1" applyAlignment="1">
      <alignment horizontal="right" vertical="center" readingOrder="2"/>
    </xf>
    <xf numFmtId="0" fontId="8" fillId="0" borderId="4" xfId="0" applyFont="1" applyBorder="1" applyAlignment="1">
      <alignment horizontal="right" vertical="center" readingOrder="2"/>
    </xf>
    <xf numFmtId="0" fontId="24" fillId="0" borderId="0" xfId="0" applyFont="1" applyAlignment="1">
      <alignment readingOrder="1"/>
    </xf>
    <xf numFmtId="0" fontId="25" fillId="0" borderId="1" xfId="0" applyFont="1" applyBorder="1" applyAlignment="1">
      <alignment horizontal="center" vertical="center" readingOrder="1"/>
    </xf>
    <xf numFmtId="0" fontId="26" fillId="0" borderId="1" xfId="0" applyFont="1" applyBorder="1" applyAlignment="1">
      <alignment horizontal="right" vertical="center" readingOrder="1"/>
    </xf>
    <xf numFmtId="0" fontId="26" fillId="0" borderId="1" xfId="0" applyFont="1" applyBorder="1" applyAlignment="1">
      <alignment horizontal="right" vertical="center" wrapText="1" readingOrder="1"/>
    </xf>
    <xf numFmtId="0" fontId="26" fillId="0" borderId="3" xfId="0" applyFont="1" applyBorder="1" applyAlignment="1">
      <alignment horizontal="center" vertical="center" readingOrder="1"/>
    </xf>
    <xf numFmtId="0" fontId="25" fillId="0" borderId="3" xfId="0" applyFont="1" applyBorder="1" applyAlignment="1">
      <alignment horizontal="center" vertical="center" readingOrder="1"/>
    </xf>
    <xf numFmtId="0" fontId="25" fillId="0" borderId="4" xfId="0" applyFont="1" applyBorder="1" applyAlignment="1">
      <alignment horizontal="center" vertical="center" readingOrder="1"/>
    </xf>
    <xf numFmtId="0" fontId="26" fillId="0" borderId="4" xfId="0" applyFont="1" applyBorder="1" applyAlignment="1">
      <alignment horizontal="right" vertical="center" readingOrder="1"/>
    </xf>
    <xf numFmtId="0" fontId="26" fillId="0" borderId="4" xfId="0" applyFont="1" applyBorder="1" applyAlignment="1">
      <alignment horizontal="right" vertical="center" wrapText="1" readingOrder="1"/>
    </xf>
    <xf numFmtId="0" fontId="26" fillId="0" borderId="4" xfId="0" applyFont="1" applyBorder="1" applyAlignment="1">
      <alignment horizontal="center" vertical="center" wrapText="1" readingOrder="1"/>
    </xf>
    <xf numFmtId="0" fontId="26" fillId="0" borderId="5" xfId="0" applyFont="1" applyBorder="1" applyAlignment="1">
      <alignment horizontal="center" vertical="center" wrapText="1" readingOrder="1"/>
    </xf>
    <xf numFmtId="0" fontId="25" fillId="0" borderId="6" xfId="0" applyFont="1" applyBorder="1" applyAlignment="1">
      <alignment horizontal="center" vertical="center" readingOrder="1"/>
    </xf>
    <xf numFmtId="0" fontId="27" fillId="0" borderId="4" xfId="0" applyFont="1" applyBorder="1" applyAlignment="1">
      <alignment horizontal="right" vertical="center" readingOrder="1"/>
    </xf>
    <xf numFmtId="2" fontId="27" fillId="0" borderId="4" xfId="0" applyNumberFormat="1" applyFont="1" applyBorder="1" applyAlignment="1">
      <alignment horizontal="right" vertical="center" readingOrder="1"/>
    </xf>
    <xf numFmtId="0" fontId="28" fillId="0" borderId="4" xfId="0" applyFont="1" applyBorder="1" applyAlignment="1">
      <alignment horizontal="center" vertical="center" readingOrder="1"/>
    </xf>
    <xf numFmtId="0" fontId="29" fillId="0" borderId="4" xfId="0" applyFont="1" applyBorder="1" applyAlignment="1">
      <alignment horizontal="center" vertical="center" readingOrder="1"/>
    </xf>
    <xf numFmtId="0" fontId="25" fillId="0" borderId="0" xfId="0" applyFont="1" applyAlignment="1">
      <alignment horizontal="center" vertical="center" readingOrder="1"/>
    </xf>
    <xf numFmtId="0" fontId="25" fillId="0" borderId="4" xfId="0" applyFont="1" applyBorder="1" applyAlignment="1">
      <alignment horizontal="center" vertical="center" readingOrder="1"/>
    </xf>
    <xf numFmtId="0" fontId="25" fillId="0" borderId="3" xfId="0" applyFont="1" applyBorder="1" applyAlignment="1">
      <alignment horizontal="center" vertical="center" readingOrder="1"/>
    </xf>
    <xf numFmtId="0" fontId="25" fillId="0" borderId="7" xfId="0" applyFont="1" applyBorder="1" applyAlignment="1">
      <alignment horizontal="center" vertical="center" readingOrder="1"/>
    </xf>
    <xf numFmtId="2" fontId="27" fillId="0" borderId="0" xfId="0" applyNumberFormat="1" applyFont="1" applyFill="1" applyBorder="1" applyAlignment="1">
      <alignment horizontal="right" vertical="center" readingOrder="1"/>
    </xf>
    <xf numFmtId="2" fontId="29" fillId="0" borderId="4" xfId="0" applyNumberFormat="1" applyFont="1" applyBorder="1" applyAlignment="1">
      <alignment horizontal="center" vertical="center" readingOrder="1"/>
    </xf>
    <xf numFmtId="0" fontId="28" fillId="0" borderId="2" xfId="0" applyFont="1" applyBorder="1" applyAlignment="1">
      <alignment horizontal="center" vertical="center" readingOrder="1"/>
    </xf>
    <xf numFmtId="0" fontId="28" fillId="0" borderId="1" xfId="0" applyFont="1" applyBorder="1" applyAlignment="1">
      <alignment horizontal="center" vertical="center" readingOrder="1"/>
    </xf>
    <xf numFmtId="0" fontId="28" fillId="0" borderId="13" xfId="0" applyFont="1" applyBorder="1" applyAlignment="1">
      <alignment horizontal="center" vertical="center" readingOrder="1"/>
    </xf>
    <xf numFmtId="0" fontId="24" fillId="0" borderId="4" xfId="0" applyFont="1" applyBorder="1" applyAlignment="1">
      <alignment horizontal="center" readingOrder="1"/>
    </xf>
    <xf numFmtId="0" fontId="30" fillId="0" borderId="1" xfId="0" applyFont="1" applyBorder="1" applyAlignment="1">
      <alignment horizontal="center" vertical="center" wrapText="1" readingOrder="1"/>
    </xf>
    <xf numFmtId="0" fontId="26" fillId="0" borderId="2" xfId="0" applyFont="1" applyBorder="1" applyAlignment="1">
      <alignment horizontal="right" vertical="center" readingOrder="1"/>
    </xf>
    <xf numFmtId="0" fontId="26" fillId="0" borderId="13" xfId="0" applyFont="1" applyBorder="1" applyAlignment="1">
      <alignment horizontal="right" vertical="center" readingOrder="1"/>
    </xf>
    <xf numFmtId="0" fontId="26" fillId="0" borderId="1" xfId="0" applyFont="1" applyBorder="1" applyAlignment="1">
      <alignment horizontal="center" vertical="center" readingOrder="1"/>
    </xf>
    <xf numFmtId="0" fontId="26" fillId="0" borderId="0" xfId="0" applyFont="1" applyFill="1" applyBorder="1" applyAlignment="1">
      <alignment horizontal="right" vertical="center" wrapText="1" readingOrder="1"/>
    </xf>
    <xf numFmtId="0" fontId="26" fillId="0" borderId="0" xfId="0" applyFont="1" applyFill="1" applyBorder="1" applyAlignment="1">
      <alignment horizontal="center" vertical="center" wrapText="1" readingOrder="1"/>
    </xf>
    <xf numFmtId="0" fontId="26" fillId="0" borderId="16" xfId="0" applyFont="1" applyBorder="1" applyAlignment="1">
      <alignment horizontal="center" vertical="center" wrapText="1" readingOrder="1"/>
    </xf>
    <xf numFmtId="0" fontId="30" fillId="0" borderId="3" xfId="0" applyFont="1" applyBorder="1" applyAlignment="1">
      <alignment horizontal="center" vertical="center" wrapText="1" readingOrder="1"/>
    </xf>
    <xf numFmtId="0" fontId="26" fillId="0" borderId="4" xfId="0" applyFont="1" applyBorder="1" applyAlignment="1">
      <alignment horizontal="center" vertical="center" readingOrder="1"/>
    </xf>
    <xf numFmtId="0" fontId="30" fillId="0" borderId="4" xfId="0" applyFont="1" applyBorder="1" applyAlignment="1">
      <alignment horizontal="right" vertical="center" readingOrder="1"/>
    </xf>
    <xf numFmtId="0" fontId="25" fillId="0" borderId="5" xfId="0" applyFont="1" applyBorder="1" applyAlignment="1">
      <alignment horizontal="center" vertical="center" readingOrder="1"/>
    </xf>
    <xf numFmtId="0" fontId="26" fillId="0" borderId="14" xfId="0" applyFont="1" applyBorder="1" applyAlignment="1">
      <alignment horizontal="center" vertical="center" readingOrder="1"/>
    </xf>
    <xf numFmtId="2" fontId="26" fillId="0" borderId="4" xfId="0" applyNumberFormat="1" applyFont="1" applyBorder="1" applyAlignment="1">
      <alignment horizontal="right" vertical="center" readingOrder="1"/>
    </xf>
    <xf numFmtId="0" fontId="28" fillId="0" borderId="17" xfId="0" applyFont="1" applyBorder="1" applyAlignment="1">
      <alignment horizontal="center" vertical="center" readingOrder="1"/>
    </xf>
    <xf numFmtId="0" fontId="29" fillId="0" borderId="14" xfId="0" applyFont="1" applyBorder="1" applyAlignment="1">
      <alignment horizontal="center" vertical="center" readingOrder="1"/>
    </xf>
    <xf numFmtId="0" fontId="28" fillId="0" borderId="18" xfId="0" applyFont="1" applyBorder="1" applyAlignment="1">
      <alignment horizontal="center" vertical="center" readingOrder="1"/>
    </xf>
    <xf numFmtId="0" fontId="28" fillId="0" borderId="5" xfId="0" applyFont="1" applyBorder="1" applyAlignment="1">
      <alignment horizontal="center" vertical="center" readingOrder="1"/>
    </xf>
    <xf numFmtId="0" fontId="28" fillId="0" borderId="15" xfId="0" applyFont="1" applyBorder="1" applyAlignment="1">
      <alignment horizontal="center" vertical="center" readingOrder="1"/>
    </xf>
    <xf numFmtId="2" fontId="28" fillId="0" borderId="4" xfId="0" applyNumberFormat="1" applyFont="1" applyBorder="1" applyAlignment="1">
      <alignment horizontal="center" vertical="center" readingOrder="1"/>
    </xf>
    <xf numFmtId="0" fontId="27" fillId="0" borderId="4" xfId="0" applyFont="1" applyBorder="1" applyAlignment="1">
      <alignment horizontal="right" vertical="center" wrapText="1" readingOrder="1"/>
    </xf>
    <xf numFmtId="2" fontId="27" fillId="0" borderId="4" xfId="0" applyNumberFormat="1" applyFont="1" applyBorder="1" applyAlignment="1">
      <alignment horizontal="right" vertical="center" wrapText="1" readingOrder="1"/>
    </xf>
    <xf numFmtId="0" fontId="31" fillId="0" borderId="1" xfId="0" applyFont="1" applyBorder="1" applyAlignment="1">
      <alignment horizontal="center" vertical="center" readingOrder="1"/>
    </xf>
    <xf numFmtId="0" fontId="29" fillId="0" borderId="0" xfId="0" applyFont="1" applyFill="1" applyBorder="1" applyAlignment="1">
      <alignment horizontal="center" vertical="center" readingOrder="1"/>
    </xf>
    <xf numFmtId="0" fontId="31" fillId="0" borderId="0" xfId="0" applyFont="1" applyFill="1" applyBorder="1" applyAlignment="1">
      <alignment horizontal="center" vertical="center" readingOrder="1"/>
    </xf>
    <xf numFmtId="0" fontId="31" fillId="0" borderId="4" xfId="0" applyFont="1" applyBorder="1" applyAlignment="1">
      <alignment horizontal="right" vertical="center" readingOrder="1"/>
    </xf>
    <xf numFmtId="2" fontId="31" fillId="0" borderId="4" xfId="0" applyNumberFormat="1" applyFont="1" applyBorder="1" applyAlignment="1">
      <alignment horizontal="right" vertical="center" readingOrder="1"/>
    </xf>
    <xf numFmtId="2" fontId="32" fillId="0" borderId="0" xfId="0" applyNumberFormat="1" applyFont="1" applyAlignment="1">
      <alignment readingOrder="1"/>
    </xf>
    <xf numFmtId="0" fontId="25" fillId="0" borderId="0" xfId="0" applyFont="1" applyBorder="1" applyAlignment="1">
      <alignment horizontal="center" vertical="center" readingOrder="1"/>
    </xf>
    <xf numFmtId="2" fontId="27" fillId="5" borderId="4" xfId="0" applyNumberFormat="1" applyFont="1" applyFill="1" applyBorder="1" applyAlignment="1">
      <alignment horizontal="right" vertical="center" readingOrder="1"/>
    </xf>
    <xf numFmtId="0" fontId="26" fillId="0" borderId="3" xfId="0" applyFont="1" applyBorder="1" applyAlignment="1">
      <alignment horizontal="right" vertical="center" readingOrder="1"/>
    </xf>
    <xf numFmtId="0" fontId="29" fillId="0" borderId="4" xfId="0" applyFont="1" applyBorder="1" applyAlignment="1">
      <alignment horizontal="center" vertical="center" wrapText="1" readingOrder="1"/>
    </xf>
    <xf numFmtId="0" fontId="31" fillId="0" borderId="19" xfId="0" applyFont="1" applyBorder="1" applyAlignment="1">
      <alignment horizontal="center" vertical="center" readingOrder="1"/>
    </xf>
    <xf numFmtId="0" fontId="31" fillId="0" borderId="19" xfId="0" applyFont="1" applyBorder="1" applyAlignment="1">
      <alignment horizontal="right" vertical="center" readingOrder="1"/>
    </xf>
    <xf numFmtId="2" fontId="31" fillId="0" borderId="19" xfId="0" applyNumberFormat="1" applyFont="1" applyBorder="1" applyAlignment="1">
      <alignment horizontal="right" vertical="center" readingOrder="1"/>
    </xf>
    <xf numFmtId="2" fontId="24" fillId="0" borderId="0" xfId="0" applyNumberFormat="1" applyFont="1" applyAlignment="1">
      <alignment readingOrder="1"/>
    </xf>
    <xf numFmtId="0" fontId="28" fillId="0" borderId="0" xfId="0" applyFont="1" applyAlignment="1">
      <alignment horizontal="center" vertical="center" readingOrder="1"/>
    </xf>
    <xf numFmtId="0" fontId="33" fillId="0" borderId="0" xfId="0" applyFont="1" applyAlignment="1">
      <alignment horizontal="right" vertical="center" readingOrder="1"/>
    </xf>
    <xf numFmtId="0" fontId="24" fillId="0" borderId="0" xfId="0" applyFont="1" applyAlignment="1"/>
    <xf numFmtId="0" fontId="27" fillId="0" borderId="5" xfId="0" applyFont="1" applyBorder="1" applyAlignment="1">
      <alignment horizontal="center" vertical="center" readingOrder="1"/>
    </xf>
    <xf numFmtId="0" fontId="27" fillId="0" borderId="4" xfId="0" applyFont="1" applyBorder="1" applyAlignment="1">
      <alignment horizontal="center" vertical="center" readingOrder="1"/>
    </xf>
    <xf numFmtId="0" fontId="27" fillId="0" borderId="14" xfId="0" applyFont="1" applyBorder="1" applyAlignment="1">
      <alignment horizontal="center" vertical="center" readingOrder="1"/>
    </xf>
    <xf numFmtId="0" fontId="26" fillId="0" borderId="9" xfId="0" applyFont="1" applyBorder="1" applyAlignment="1">
      <alignment horizontal="center" vertical="center" wrapText="1" readingOrder="1"/>
    </xf>
    <xf numFmtId="0" fontId="26" fillId="0" borderId="11" xfId="0" applyFont="1" applyBorder="1" applyAlignment="1">
      <alignment horizontal="center" vertical="center" wrapText="1" readingOrder="1"/>
    </xf>
    <xf numFmtId="0" fontId="24" fillId="0" borderId="12" xfId="0" applyFont="1" applyBorder="1" applyAlignment="1">
      <alignment readingOrder="1"/>
    </xf>
    <xf numFmtId="0" fontId="27" fillId="0" borderId="8" xfId="0" applyFont="1" applyFill="1" applyBorder="1" applyAlignment="1">
      <alignment horizontal="center" vertical="center" readingOrder="1"/>
    </xf>
    <xf numFmtId="2" fontId="27" fillId="0" borderId="8" xfId="0" applyNumberFormat="1" applyFont="1" applyFill="1" applyBorder="1" applyAlignment="1">
      <alignment horizontal="center" vertical="center" readingOrder="1"/>
    </xf>
    <xf numFmtId="0" fontId="27" fillId="0" borderId="10" xfId="0" applyFont="1" applyFill="1" applyBorder="1" applyAlignment="1">
      <alignment horizontal="center" vertical="center" readingOrder="1"/>
    </xf>
    <xf numFmtId="0" fontId="26" fillId="0" borderId="9" xfId="0" applyFont="1" applyBorder="1" applyAlignment="1">
      <alignment horizontal="center" vertical="center" wrapText="1" readingOrder="1"/>
    </xf>
    <xf numFmtId="0" fontId="26" fillId="0" borderId="11" xfId="0" applyFont="1" applyBorder="1" applyAlignment="1">
      <alignment horizontal="center" vertical="center" wrapText="1" readingOrder="1"/>
    </xf>
    <xf numFmtId="2" fontId="30" fillId="0" borderId="4" xfId="0" applyNumberFormat="1" applyFont="1" applyBorder="1" applyAlignment="1">
      <alignment horizontal="center" vertical="center" readingOrder="1"/>
    </xf>
    <xf numFmtId="164" fontId="26" fillId="0" borderId="4" xfId="0" applyNumberFormat="1" applyFont="1" applyBorder="1" applyAlignment="1">
      <alignment horizontal="right" vertical="center" readingOrder="1"/>
    </xf>
    <xf numFmtId="1" fontId="26" fillId="0" borderId="4" xfId="0" applyNumberFormat="1" applyFont="1" applyBorder="1" applyAlignment="1">
      <alignment horizontal="right" vertical="center" readingOrder="1"/>
    </xf>
    <xf numFmtId="0" fontId="29" fillId="2" borderId="4" xfId="0" applyFont="1" applyFill="1" applyBorder="1" applyAlignment="1">
      <alignment horizontal="center" vertical="center" readingOrder="1"/>
    </xf>
    <xf numFmtId="0" fontId="18" fillId="6" borderId="1" xfId="0" applyFont="1" applyFill="1" applyBorder="1" applyAlignment="1">
      <alignment horizontal="right" vertical="center" wrapText="1" readingOrder="1"/>
    </xf>
    <xf numFmtId="0" fontId="21" fillId="6" borderId="20" xfId="0" applyFont="1" applyFill="1" applyBorder="1" applyAlignment="1">
      <alignment horizontal="center" vertical="center" wrapText="1" readingOrder="1"/>
    </xf>
    <xf numFmtId="0" fontId="21" fillId="6" borderId="1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right" vertical="center" wrapText="1" readingOrder="1"/>
    </xf>
    <xf numFmtId="0" fontId="21" fillId="7" borderId="4" xfId="0" applyFont="1" applyFill="1" applyBorder="1" applyAlignment="1">
      <alignment horizontal="right" vertical="center" wrapText="1" readingOrder="1"/>
    </xf>
    <xf numFmtId="0" fontId="22" fillId="6" borderId="21" xfId="0" applyFont="1" applyFill="1" applyBorder="1" applyAlignment="1">
      <alignment horizontal="left" vertical="center" wrapText="1" readingOrder="1"/>
    </xf>
    <xf numFmtId="0" fontId="22" fillId="6" borderId="4" xfId="0" applyFont="1" applyFill="1" applyBorder="1" applyAlignment="1">
      <alignment horizontal="left" vertical="center" wrapText="1" readingOrder="1"/>
    </xf>
    <xf numFmtId="0" fontId="22" fillId="2" borderId="21" xfId="0" applyFont="1" applyFill="1" applyBorder="1" applyAlignment="1">
      <alignment horizontal="left" vertical="center" wrapText="1" readingOrder="1"/>
    </xf>
    <xf numFmtId="0" fontId="10" fillId="0" borderId="4" xfId="0" applyFont="1" applyBorder="1" applyAlignment="1">
      <alignment horizontal="right" vertical="center" wrapText="1" readingOrder="1"/>
    </xf>
    <xf numFmtId="0" fontId="22" fillId="6" borderId="1" xfId="0" applyFont="1" applyFill="1" applyBorder="1" applyAlignment="1">
      <alignment horizontal="right" vertical="center" wrapText="1" readingOrder="1"/>
    </xf>
    <xf numFmtId="0" fontId="31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right" vertical="center"/>
    </xf>
    <xf numFmtId="0" fontId="26" fillId="0" borderId="2" xfId="0" applyFont="1" applyBorder="1" applyAlignment="1">
      <alignment horizontal="right" vertical="center"/>
    </xf>
    <xf numFmtId="0" fontId="28" fillId="0" borderId="6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 readingOrder="1"/>
    </xf>
    <xf numFmtId="0" fontId="26" fillId="0" borderId="3" xfId="0" applyFont="1" applyBorder="1" applyAlignment="1">
      <alignment horizontal="center" vertical="center" wrapText="1" readingOrder="1"/>
    </xf>
    <xf numFmtId="0" fontId="28" fillId="0" borderId="6" xfId="0" applyFont="1" applyBorder="1" applyAlignment="1">
      <alignment horizontal="center" vertical="center" readingOrder="1"/>
    </xf>
    <xf numFmtId="0" fontId="28" fillId="0" borderId="6" xfId="0" applyFont="1" applyBorder="1" applyAlignment="1">
      <alignment horizontal="center" vertical="center" readingOrder="1"/>
    </xf>
    <xf numFmtId="0" fontId="28" fillId="0" borderId="0" xfId="0" applyFont="1" applyAlignment="1">
      <alignment horizontal="center" vertical="center" readingOrder="1"/>
    </xf>
    <xf numFmtId="0" fontId="28" fillId="0" borderId="4" xfId="0" applyFont="1" applyBorder="1" applyAlignment="1">
      <alignment horizontal="center" vertical="center" readingOrder="1"/>
    </xf>
    <xf numFmtId="0" fontId="28" fillId="2" borderId="0" xfId="0" applyFont="1" applyFill="1" applyBorder="1" applyAlignment="1">
      <alignment horizontal="center" vertical="center" readingOrder="1"/>
    </xf>
    <xf numFmtId="0" fontId="28" fillId="0" borderId="7" xfId="0" applyFont="1" applyBorder="1" applyAlignment="1">
      <alignment horizontal="center" vertical="center" readingOrder="1"/>
    </xf>
    <xf numFmtId="0" fontId="28" fillId="0" borderId="7" xfId="0" applyFont="1" applyBorder="1" applyAlignment="1">
      <alignment horizontal="center" vertical="center" readingOrder="1"/>
    </xf>
    <xf numFmtId="0" fontId="24" fillId="2" borderId="0" xfId="0" applyFont="1" applyFill="1" applyAlignment="1">
      <alignment readingOrder="1"/>
    </xf>
    <xf numFmtId="0" fontId="26" fillId="0" borderId="0" xfId="0" applyFont="1" applyBorder="1" applyAlignment="1">
      <alignment horizontal="right" vertical="center" wrapText="1" readingOrder="1"/>
    </xf>
    <xf numFmtId="0" fontId="24" fillId="0" borderId="0" xfId="0" applyFont="1" applyAlignment="1">
      <alignment horizontal="center" readingOrder="1"/>
    </xf>
    <xf numFmtId="0" fontId="24" fillId="8" borderId="0" xfId="0" applyFont="1" applyFill="1" applyAlignment="1">
      <alignment horizontal="center" readingOrder="1"/>
    </xf>
    <xf numFmtId="0" fontId="26" fillId="0" borderId="0" xfId="0" applyFont="1" applyBorder="1" applyAlignment="1">
      <alignment horizontal="center" vertical="center" wrapText="1" readingOrder="1"/>
    </xf>
    <xf numFmtId="0" fontId="24" fillId="0" borderId="0" xfId="0" applyFont="1" applyAlignment="1">
      <alignment horizontal="center" readingOrder="1"/>
    </xf>
    <xf numFmtId="0" fontId="24" fillId="0" borderId="12" xfId="0" applyFont="1" applyBorder="1" applyAlignment="1">
      <alignment horizontal="center" readingOrder="1"/>
    </xf>
    <xf numFmtId="0" fontId="24" fillId="9" borderId="0" xfId="0" applyFont="1" applyFill="1" applyAlignment="1">
      <alignment horizontal="center" readingOrder="1"/>
    </xf>
    <xf numFmtId="0" fontId="27" fillId="0" borderId="0" xfId="0" applyFont="1" applyBorder="1" applyAlignment="1">
      <alignment horizontal="right" vertical="center" readingOrder="1"/>
    </xf>
    <xf numFmtId="2" fontId="27" fillId="0" borderId="0" xfId="0" applyNumberFormat="1" applyFont="1" applyBorder="1" applyAlignment="1">
      <alignment horizontal="right" vertical="center" readingOrder="1"/>
    </xf>
    <xf numFmtId="2" fontId="24" fillId="5" borderId="8" xfId="0" applyNumberFormat="1" applyFont="1" applyFill="1" applyBorder="1" applyAlignment="1">
      <alignment horizontal="center" readingOrder="1"/>
    </xf>
    <xf numFmtId="2" fontId="27" fillId="0" borderId="0" xfId="0" applyNumberFormat="1" applyFont="1" applyBorder="1" applyAlignment="1">
      <alignment horizontal="center" vertical="center" readingOrder="1"/>
    </xf>
    <xf numFmtId="2" fontId="24" fillId="8" borderId="0" xfId="0" applyNumberFormat="1" applyFont="1" applyFill="1" applyAlignment="1">
      <alignment readingOrder="1"/>
    </xf>
    <xf numFmtId="2" fontId="24" fillId="5" borderId="10" xfId="0" applyNumberFormat="1" applyFont="1" applyFill="1" applyBorder="1" applyAlignment="1">
      <alignment horizontal="center" readingOrder="1"/>
    </xf>
    <xf numFmtId="2" fontId="27" fillId="2" borderId="0" xfId="0" applyNumberFormat="1" applyFont="1" applyFill="1" applyBorder="1" applyAlignment="1">
      <alignment horizontal="right" vertical="center" readingOrder="1"/>
    </xf>
    <xf numFmtId="0" fontId="24" fillId="0" borderId="10" xfId="0" applyFont="1" applyBorder="1" applyAlignment="1">
      <alignment horizontal="center" readingOrder="1"/>
    </xf>
    <xf numFmtId="2" fontId="24" fillId="0" borderId="10" xfId="0" applyNumberFormat="1" applyFont="1" applyBorder="1" applyAlignment="1">
      <alignment horizontal="center" readingOrder="1"/>
    </xf>
    <xf numFmtId="2" fontId="27" fillId="2" borderId="4" xfId="0" applyNumberFormat="1" applyFont="1" applyFill="1" applyBorder="1" applyAlignment="1">
      <alignment horizontal="right" vertical="center" readingOrder="1"/>
    </xf>
    <xf numFmtId="0" fontId="24" fillId="0" borderId="8" xfId="0" applyFont="1" applyBorder="1" applyAlignment="1">
      <alignment horizontal="center" readingOrder="1"/>
    </xf>
    <xf numFmtId="2" fontId="24" fillId="0" borderId="8" xfId="0" applyNumberFormat="1" applyFont="1" applyBorder="1" applyAlignment="1">
      <alignment horizontal="center" readingOrder="1"/>
    </xf>
    <xf numFmtId="165" fontId="27" fillId="2" borderId="4" xfId="0" applyNumberFormat="1" applyFont="1" applyFill="1" applyBorder="1" applyAlignment="1">
      <alignment horizontal="right" vertical="center" readingOrder="1"/>
    </xf>
    <xf numFmtId="165" fontId="27" fillId="2" borderId="0" xfId="0" applyNumberFormat="1" applyFont="1" applyFill="1" applyBorder="1" applyAlignment="1">
      <alignment horizontal="right" vertical="center" readingOrder="1"/>
    </xf>
    <xf numFmtId="0" fontId="27" fillId="0" borderId="7" xfId="0" applyFont="1" applyBorder="1" applyAlignment="1">
      <alignment horizontal="right" vertical="center" readingOrder="1"/>
    </xf>
    <xf numFmtId="0" fontId="27" fillId="0" borderId="0" xfId="0" applyFont="1" applyAlignment="1">
      <alignment horizontal="right" vertical="center" readingOrder="1"/>
    </xf>
    <xf numFmtId="0" fontId="27" fillId="0" borderId="4" xfId="0" applyFont="1" applyBorder="1" applyAlignment="1">
      <alignment horizontal="right" vertical="center" readingOrder="1"/>
    </xf>
    <xf numFmtId="2" fontId="24" fillId="2" borderId="0" xfId="0" applyNumberFormat="1" applyFont="1" applyFill="1" applyAlignment="1">
      <alignment readingOrder="1"/>
    </xf>
    <xf numFmtId="0" fontId="27" fillId="0" borderId="0" xfId="0" applyFont="1" applyBorder="1" applyAlignment="1">
      <alignment horizontal="righ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739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EF!$E$17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EF!$F$16:$J$16</c:f>
              <c:strCache>
                <c:ptCount val="5"/>
                <c:pt idx="0">
                  <c:v>Pb</c:v>
                </c:pt>
                <c:pt idx="1">
                  <c:v>Cu</c:v>
                </c:pt>
                <c:pt idx="2">
                  <c:v>Ni</c:v>
                </c:pt>
                <c:pt idx="3">
                  <c:v>Cd</c:v>
                </c:pt>
                <c:pt idx="4">
                  <c:v>Zn</c:v>
                </c:pt>
              </c:strCache>
            </c:strRef>
          </c:cat>
          <c:val>
            <c:numRef>
              <c:f>EF!$F$17:$J$17</c:f>
              <c:numCache>
                <c:formatCode>0.00</c:formatCode>
                <c:ptCount val="5"/>
                <c:pt idx="0">
                  <c:v>0.60018404396579605</c:v>
                </c:pt>
                <c:pt idx="1">
                  <c:v>1.0588243201262924</c:v>
                </c:pt>
                <c:pt idx="2">
                  <c:v>0.62263737395099594</c:v>
                </c:pt>
                <c:pt idx="3">
                  <c:v>0.43756952636438562</c:v>
                </c:pt>
                <c:pt idx="4">
                  <c:v>0.95182347587177707</c:v>
                </c:pt>
              </c:numCache>
            </c:numRef>
          </c:val>
        </c:ser>
        <c:ser>
          <c:idx val="1"/>
          <c:order val="1"/>
          <c:tx>
            <c:strRef>
              <c:f>EF!$E$18</c:f>
              <c:strCache>
                <c:ptCount val="1"/>
                <c:pt idx="0">
                  <c:v>2</c:v>
                </c:pt>
              </c:strCache>
            </c:strRef>
          </c:tx>
          <c:spPr>
            <a:pattFill prst="lgConfetti">
              <a:fgClr>
                <a:srgbClr val="00206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EF!$F$16:$J$16</c:f>
              <c:strCache>
                <c:ptCount val="5"/>
                <c:pt idx="0">
                  <c:v>Pb</c:v>
                </c:pt>
                <c:pt idx="1">
                  <c:v>Cu</c:v>
                </c:pt>
                <c:pt idx="2">
                  <c:v>Ni</c:v>
                </c:pt>
                <c:pt idx="3">
                  <c:v>Cd</c:v>
                </c:pt>
                <c:pt idx="4">
                  <c:v>Zn</c:v>
                </c:pt>
              </c:strCache>
            </c:strRef>
          </c:cat>
          <c:val>
            <c:numRef>
              <c:f>EF!$F$18:$J$18</c:f>
              <c:numCache>
                <c:formatCode>0.00</c:formatCode>
                <c:ptCount val="5"/>
                <c:pt idx="0">
                  <c:v>0.31119578715661056</c:v>
                </c:pt>
                <c:pt idx="1">
                  <c:v>1.2400490412067751</c:v>
                </c:pt>
                <c:pt idx="2">
                  <c:v>0.76686698580024326</c:v>
                </c:pt>
                <c:pt idx="3">
                  <c:v>1.3968569897506453</c:v>
                </c:pt>
                <c:pt idx="4">
                  <c:v>1.0964905002022436</c:v>
                </c:pt>
              </c:numCache>
            </c:numRef>
          </c:val>
        </c:ser>
        <c:ser>
          <c:idx val="2"/>
          <c:order val="2"/>
          <c:tx>
            <c:strRef>
              <c:f>EF!$E$19</c:f>
              <c:strCache>
                <c:ptCount val="1"/>
                <c:pt idx="0">
                  <c:v>3</c:v>
                </c:pt>
              </c:strCache>
            </c:strRef>
          </c:tx>
          <c:spPr>
            <a:pattFill prst="horzBrick">
              <a:fgClr>
                <a:srgbClr val="00206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EF!$F$16:$J$16</c:f>
              <c:strCache>
                <c:ptCount val="5"/>
                <c:pt idx="0">
                  <c:v>Pb</c:v>
                </c:pt>
                <c:pt idx="1">
                  <c:v>Cu</c:v>
                </c:pt>
                <c:pt idx="2">
                  <c:v>Ni</c:v>
                </c:pt>
                <c:pt idx="3">
                  <c:v>Cd</c:v>
                </c:pt>
                <c:pt idx="4">
                  <c:v>Zn</c:v>
                </c:pt>
              </c:strCache>
            </c:strRef>
          </c:cat>
          <c:val>
            <c:numRef>
              <c:f>EF!$F$19:$J$19</c:f>
              <c:numCache>
                <c:formatCode>0.00</c:formatCode>
                <c:ptCount val="5"/>
                <c:pt idx="0">
                  <c:v>1.4137995761463631</c:v>
                </c:pt>
                <c:pt idx="1">
                  <c:v>1.1933033594006619</c:v>
                </c:pt>
                <c:pt idx="2">
                  <c:v>0.56085511013572387</c:v>
                </c:pt>
                <c:pt idx="3">
                  <c:v>1.1517970274218723</c:v>
                </c:pt>
                <c:pt idx="4">
                  <c:v>0.57809034840195661</c:v>
                </c:pt>
              </c:numCache>
            </c:numRef>
          </c:val>
        </c:ser>
        <c:ser>
          <c:idx val="3"/>
          <c:order val="3"/>
          <c:tx>
            <c:strRef>
              <c:f>EF!$E$20</c:f>
              <c:strCache>
                <c:ptCount val="1"/>
                <c:pt idx="0">
                  <c:v>4</c:v>
                </c:pt>
              </c:strCache>
            </c:strRef>
          </c:tx>
          <c:spPr>
            <a:pattFill prst="pct80">
              <a:fgClr>
                <a:srgbClr val="00206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EF!$F$16:$J$16</c:f>
              <c:strCache>
                <c:ptCount val="5"/>
                <c:pt idx="0">
                  <c:v>Pb</c:v>
                </c:pt>
                <c:pt idx="1">
                  <c:v>Cu</c:v>
                </c:pt>
                <c:pt idx="2">
                  <c:v>Ni</c:v>
                </c:pt>
                <c:pt idx="3">
                  <c:v>Cd</c:v>
                </c:pt>
                <c:pt idx="4">
                  <c:v>Zn</c:v>
                </c:pt>
              </c:strCache>
            </c:strRef>
          </c:cat>
          <c:val>
            <c:numRef>
              <c:f>EF!$F$20:$J$20</c:f>
              <c:numCache>
                <c:formatCode>0.00</c:formatCode>
                <c:ptCount val="5"/>
                <c:pt idx="0">
                  <c:v>0.77998512458363312</c:v>
                </c:pt>
                <c:pt idx="1">
                  <c:v>1.0369560527058959</c:v>
                </c:pt>
                <c:pt idx="2">
                  <c:v>0.59666015021828944</c:v>
                </c:pt>
                <c:pt idx="3">
                  <c:v>0.7247822149615053</c:v>
                </c:pt>
                <c:pt idx="4">
                  <c:v>0.79975589898233324</c:v>
                </c:pt>
              </c:numCache>
            </c:numRef>
          </c:val>
        </c:ser>
        <c:ser>
          <c:idx val="4"/>
          <c:order val="4"/>
          <c:tx>
            <c:strRef>
              <c:f>EF!$E$21</c:f>
              <c:strCache>
                <c:ptCount val="1"/>
                <c:pt idx="0">
                  <c:v>5</c:v>
                </c:pt>
              </c:strCache>
            </c:strRef>
          </c:tx>
          <c:spPr>
            <a:pattFill prst="dashUpDiag">
              <a:fgClr>
                <a:srgbClr val="00206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EF!$F$16:$J$16</c:f>
              <c:strCache>
                <c:ptCount val="5"/>
                <c:pt idx="0">
                  <c:v>Pb</c:v>
                </c:pt>
                <c:pt idx="1">
                  <c:v>Cu</c:v>
                </c:pt>
                <c:pt idx="2">
                  <c:v>Ni</c:v>
                </c:pt>
                <c:pt idx="3">
                  <c:v>Cd</c:v>
                </c:pt>
                <c:pt idx="4">
                  <c:v>Zn</c:v>
                </c:pt>
              </c:strCache>
            </c:strRef>
          </c:cat>
          <c:val>
            <c:numRef>
              <c:f>EF!$F$21:$J$21</c:f>
              <c:numCache>
                <c:formatCode>0.00</c:formatCode>
                <c:ptCount val="5"/>
                <c:pt idx="0">
                  <c:v>1.3381959314588641</c:v>
                </c:pt>
                <c:pt idx="1">
                  <c:v>1.7448945194885135</c:v>
                </c:pt>
                <c:pt idx="2">
                  <c:v>1.0008592582199922</c:v>
                </c:pt>
                <c:pt idx="3">
                  <c:v>1.0234166450259263</c:v>
                </c:pt>
                <c:pt idx="4">
                  <c:v>1.7056642236516035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9545008"/>
        <c:axId val="289545568"/>
      </c:barChart>
      <c:catAx>
        <c:axId val="28954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289545568"/>
        <c:crosses val="autoZero"/>
        <c:auto val="1"/>
        <c:lblAlgn val="ctr"/>
        <c:lblOffset val="100"/>
        <c:noMultiLvlLbl val="0"/>
      </c:catAx>
      <c:valAx>
        <c:axId val="289545568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B Nazanin" panose="00000400000000000000" pitchFamily="2" charset="-78"/>
                  </a:defRPr>
                </a:pPr>
                <a:r>
                  <a:rPr lang="fa-IR" sz="1200">
                    <a:cs typeface="B Nazanin" panose="00000400000000000000" pitchFamily="2" charset="-78"/>
                  </a:rPr>
                  <a:t>ضریب</a:t>
                </a:r>
                <a:r>
                  <a:rPr lang="fa-IR" sz="1200" baseline="0">
                    <a:cs typeface="B Nazanin" panose="00000400000000000000" pitchFamily="2" charset="-78"/>
                  </a:rPr>
                  <a:t> غنی شدگی</a:t>
                </a:r>
                <a:endParaRPr lang="en-US" sz="1200">
                  <a:cs typeface="B Nazanin" panose="00000400000000000000" pitchFamily="2" charset="-78"/>
                </a:endParaRPr>
              </a:p>
            </c:rich>
          </c:tx>
          <c:layout>
            <c:manualLayout>
              <c:xMode val="edge"/>
              <c:yMode val="edge"/>
              <c:x val="1.3936713275279058E-2"/>
              <c:y val="0.328046535665028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B Nazanin" panose="00000400000000000000" pitchFamily="2" charset="-78"/>
                </a:defRPr>
              </a:pPr>
              <a:endParaRPr lang="fa-IR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28954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827055264664665E-3"/>
          <c:y val="0.85380355821454368"/>
          <c:w val="0.93464954433531888"/>
          <c:h val="0.118677213537293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246531</xdr:colOff>
      <xdr:row>1</xdr:row>
      <xdr:rowOff>44824</xdr:rowOff>
    </xdr:from>
    <xdr:to>
      <xdr:col>26</xdr:col>
      <xdr:colOff>459442</xdr:colOff>
      <xdr:row>12</xdr:row>
      <xdr:rowOff>107856</xdr:rowOff>
    </xdr:to>
    <xdr:grpSp>
      <xdr:nvGrpSpPr>
        <xdr:cNvPr id="10" name="Group 9"/>
        <xdr:cNvGrpSpPr/>
      </xdr:nvGrpSpPr>
      <xdr:grpSpPr>
        <a:xfrm>
          <a:off x="13756343" y="224118"/>
          <a:ext cx="4919381" cy="2295244"/>
          <a:chOff x="2274795" y="347384"/>
          <a:chExt cx="4997822" cy="2909326"/>
        </a:xfrm>
      </xdr:grpSpPr>
      <xdr:graphicFrame macro="">
        <xdr:nvGraphicFramePr>
          <xdr:cNvPr id="6" name="Chart 5"/>
          <xdr:cNvGraphicFramePr/>
        </xdr:nvGraphicFramePr>
        <xdr:xfrm>
          <a:off x="2274795" y="347384"/>
          <a:ext cx="4997822" cy="29093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8" name="Straight Connector 7"/>
          <xdr:cNvCxnSpPr/>
        </xdr:nvCxnSpPr>
        <xdr:spPr>
          <a:xfrm>
            <a:off x="3036794" y="1949824"/>
            <a:ext cx="3597088" cy="11205"/>
          </a:xfrm>
          <a:prstGeom prst="line">
            <a:avLst/>
          </a:prstGeom>
          <a:ln w="19050">
            <a:solidFill>
              <a:sysClr val="windowText" lastClr="000000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Connector 8"/>
          <xdr:cNvCxnSpPr/>
        </xdr:nvCxnSpPr>
        <xdr:spPr>
          <a:xfrm>
            <a:off x="3009900" y="959224"/>
            <a:ext cx="3597088" cy="11205"/>
          </a:xfrm>
          <a:prstGeom prst="line">
            <a:avLst/>
          </a:prstGeom>
          <a:ln w="19050">
            <a:solidFill>
              <a:sysClr val="windowText" lastClr="000000"/>
            </a:solidFill>
            <a:prstDash val="lg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2</xdr:row>
      <xdr:rowOff>180975</xdr:rowOff>
    </xdr:from>
    <xdr:to>
      <xdr:col>4</xdr:col>
      <xdr:colOff>38100</xdr:colOff>
      <xdr:row>4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542925"/>
          <a:ext cx="15811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2"/>
  <sheetViews>
    <sheetView tabSelected="1" topLeftCell="M28" zoomScale="55" zoomScaleNormal="55" workbookViewId="0">
      <selection activeCell="X10" sqref="X9:Y10"/>
    </sheetView>
  </sheetViews>
  <sheetFormatPr defaultRowHeight="13.8" x14ac:dyDescent="0.25"/>
  <cols>
    <col min="1" max="16384" width="8.796875" style="46"/>
  </cols>
  <sheetData>
    <row r="1" spans="1:53" ht="14.4" thickBot="1" x14ac:dyDescent="0.3"/>
    <row r="2" spans="1:53" ht="16.2" thickBot="1" x14ac:dyDescent="0.3">
      <c r="A2" s="146" t="s">
        <v>0</v>
      </c>
      <c r="B2" s="72" t="s">
        <v>91</v>
      </c>
      <c r="C2" s="72" t="s">
        <v>1</v>
      </c>
      <c r="D2" s="48" t="s">
        <v>2</v>
      </c>
      <c r="E2" s="48" t="s">
        <v>3</v>
      </c>
      <c r="F2" s="48" t="s">
        <v>4</v>
      </c>
      <c r="G2" s="48" t="s">
        <v>5</v>
      </c>
      <c r="H2" s="73" t="s">
        <v>6</v>
      </c>
      <c r="I2" s="48" t="s">
        <v>7</v>
      </c>
      <c r="K2" s="46" t="str">
        <f>A2</f>
        <v>ایستگاه</v>
      </c>
      <c r="L2" s="46" t="str">
        <f t="shared" ref="L2:S2" si="0">B2</f>
        <v>عمق (cm)</v>
      </c>
      <c r="N2" s="46" t="str">
        <f t="shared" si="0"/>
        <v>Pb</v>
      </c>
      <c r="O2" s="46" t="str">
        <f t="shared" si="0"/>
        <v>Cu</v>
      </c>
      <c r="P2" s="46" t="str">
        <f t="shared" si="0"/>
        <v>Ni</v>
      </c>
      <c r="Q2" s="46" t="str">
        <f t="shared" si="0"/>
        <v>Cd</v>
      </c>
      <c r="R2" s="46" t="str">
        <f t="shared" si="0"/>
        <v>Zn</v>
      </c>
      <c r="S2" s="46" t="str">
        <f t="shared" si="0"/>
        <v>Fe</v>
      </c>
    </row>
    <row r="3" spans="1:53" ht="17.399999999999999" thickBot="1" x14ac:dyDescent="0.3">
      <c r="A3" s="147"/>
      <c r="B3" s="79"/>
      <c r="C3" s="79"/>
      <c r="D3" s="53"/>
      <c r="E3" s="80" t="s">
        <v>8</v>
      </c>
      <c r="F3" s="81" t="s">
        <v>9</v>
      </c>
      <c r="G3" s="80"/>
      <c r="H3" s="82"/>
      <c r="I3" s="80" t="s">
        <v>10</v>
      </c>
    </row>
    <row r="4" spans="1:53" ht="16.2" thickBot="1" x14ac:dyDescent="0.3">
      <c r="A4" s="148">
        <v>1</v>
      </c>
      <c r="B4" s="149" t="s">
        <v>11</v>
      </c>
      <c r="C4" s="61">
        <v>1</v>
      </c>
      <c r="D4" s="61">
        <v>0.73</v>
      </c>
      <c r="E4" s="61">
        <v>0.94</v>
      </c>
      <c r="F4" s="61">
        <v>3.24</v>
      </c>
      <c r="G4" s="61">
        <v>0.87</v>
      </c>
      <c r="H4" s="61">
        <v>4.3099999999999996</v>
      </c>
      <c r="I4" s="61">
        <v>3.42</v>
      </c>
      <c r="N4" s="61">
        <f>D4/2.54</f>
        <v>0.2874015748031496</v>
      </c>
      <c r="O4" s="61">
        <f t="shared" ref="O4:S4" si="1">E4*2.54</f>
        <v>2.3875999999999999</v>
      </c>
      <c r="P4" s="61">
        <f t="shared" si="1"/>
        <v>8.2296000000000014</v>
      </c>
      <c r="Q4" s="61">
        <f t="shared" si="1"/>
        <v>2.2098</v>
      </c>
      <c r="R4" s="61">
        <f t="shared" si="1"/>
        <v>10.9474</v>
      </c>
      <c r="S4" s="61">
        <f t="shared" si="1"/>
        <v>8.6867999999999999</v>
      </c>
    </row>
    <row r="5" spans="1:53" ht="16.2" thickBot="1" x14ac:dyDescent="0.3">
      <c r="A5" s="107"/>
      <c r="B5" s="150"/>
      <c r="C5" s="61">
        <v>2</v>
      </c>
      <c r="D5" s="61">
        <v>0.46</v>
      </c>
      <c r="E5" s="61">
        <v>0.72</v>
      </c>
      <c r="F5" s="61">
        <v>2.77</v>
      </c>
      <c r="G5" s="61">
        <v>1.1200000000000001</v>
      </c>
      <c r="H5" s="61">
        <v>3.32</v>
      </c>
      <c r="I5" s="61">
        <v>6.58</v>
      </c>
      <c r="N5" s="61">
        <f t="shared" ref="N5:N6" si="2">D5/2.54</f>
        <v>0.18110236220472442</v>
      </c>
      <c r="O5" s="61">
        <f t="shared" ref="O5:O11" si="3">E5*2.54</f>
        <v>1.8288</v>
      </c>
      <c r="P5" s="61">
        <f t="shared" ref="P5:P11" si="4">F5*2.54</f>
        <v>7.0358000000000001</v>
      </c>
      <c r="Q5" s="61">
        <f t="shared" ref="Q5:Q11" si="5">G5*2.54</f>
        <v>2.8448000000000002</v>
      </c>
      <c r="R5" s="61">
        <f t="shared" ref="R5:R11" si="6">H5*2.54</f>
        <v>8.4328000000000003</v>
      </c>
      <c r="S5" s="61">
        <f t="shared" ref="S5:S11" si="7">I5*2.54</f>
        <v>16.713200000000001</v>
      </c>
    </row>
    <row r="6" spans="1:53" ht="16.2" thickBot="1" x14ac:dyDescent="0.3">
      <c r="A6" s="107"/>
      <c r="B6" s="151"/>
      <c r="C6" s="61">
        <v>3</v>
      </c>
      <c r="D6" s="61">
        <v>0.4</v>
      </c>
      <c r="E6" s="61">
        <v>0.96</v>
      </c>
      <c r="F6" s="61">
        <v>1.83</v>
      </c>
      <c r="G6" s="61">
        <v>0.55000000000000004</v>
      </c>
      <c r="H6" s="61">
        <v>5.49</v>
      </c>
      <c r="I6" s="61">
        <v>6.05</v>
      </c>
      <c r="N6" s="61">
        <f t="shared" si="2"/>
        <v>0.15748031496062992</v>
      </c>
      <c r="O6" s="61">
        <f t="shared" si="3"/>
        <v>2.4384000000000001</v>
      </c>
      <c r="P6" s="61">
        <f t="shared" si="4"/>
        <v>4.6482000000000001</v>
      </c>
      <c r="Q6" s="61">
        <f t="shared" si="5"/>
        <v>1.3970000000000002</v>
      </c>
      <c r="R6" s="61">
        <f t="shared" si="6"/>
        <v>13.944600000000001</v>
      </c>
      <c r="S6" s="61">
        <f t="shared" si="7"/>
        <v>15.366999999999999</v>
      </c>
    </row>
    <row r="7" spans="1:53" ht="16.2" thickBot="1" x14ac:dyDescent="0.3">
      <c r="A7" s="152"/>
      <c r="B7" s="152" t="s">
        <v>13</v>
      </c>
      <c r="C7" s="124"/>
      <c r="D7" s="124">
        <f t="shared" ref="D7:I7" si="8">AVERAGE(D4:D6)</f>
        <v>0.52999999999999992</v>
      </c>
      <c r="E7" s="124">
        <f t="shared" si="8"/>
        <v>0.87333333333333341</v>
      </c>
      <c r="F7" s="124">
        <f t="shared" si="8"/>
        <v>2.6133333333333333</v>
      </c>
      <c r="G7" s="124">
        <f t="shared" si="8"/>
        <v>0.84666666666666668</v>
      </c>
      <c r="H7" s="124">
        <f t="shared" si="8"/>
        <v>4.3733333333333331</v>
      </c>
      <c r="I7" s="124">
        <f t="shared" si="8"/>
        <v>5.3500000000000005</v>
      </c>
      <c r="N7" s="124">
        <f t="shared" ref="N7:N11" si="9">D7*2.54</f>
        <v>1.3461999999999998</v>
      </c>
      <c r="O7" s="124">
        <f t="shared" si="3"/>
        <v>2.2182666666666671</v>
      </c>
      <c r="P7" s="124">
        <f t="shared" si="4"/>
        <v>6.6378666666666666</v>
      </c>
      <c r="Q7" s="124">
        <f t="shared" si="5"/>
        <v>2.1505333333333332</v>
      </c>
      <c r="R7" s="124">
        <f t="shared" si="6"/>
        <v>11.108266666666665</v>
      </c>
      <c r="S7" s="124">
        <f t="shared" si="7"/>
        <v>13.589000000000002</v>
      </c>
    </row>
    <row r="8" spans="1:53" ht="16.2" thickBot="1" x14ac:dyDescent="0.3">
      <c r="A8" s="153">
        <v>2</v>
      </c>
      <c r="B8" s="154" t="s">
        <v>11</v>
      </c>
      <c r="C8" s="61">
        <v>1</v>
      </c>
      <c r="D8" s="61">
        <v>0.87</v>
      </c>
      <c r="E8" s="61">
        <v>1.39</v>
      </c>
      <c r="F8" s="61">
        <v>1.93</v>
      </c>
      <c r="G8" s="61">
        <v>0.76</v>
      </c>
      <c r="H8" s="61">
        <v>2.4</v>
      </c>
      <c r="I8" s="61">
        <v>5.56</v>
      </c>
      <c r="N8" s="61">
        <f>D8/2.54</f>
        <v>0.34251968503937008</v>
      </c>
      <c r="O8" s="61">
        <f t="shared" si="3"/>
        <v>3.5305999999999997</v>
      </c>
      <c r="P8" s="61">
        <f t="shared" si="4"/>
        <v>4.9021999999999997</v>
      </c>
      <c r="Q8" s="61">
        <f t="shared" si="5"/>
        <v>1.9304000000000001</v>
      </c>
      <c r="R8" s="61">
        <f t="shared" si="6"/>
        <v>6.0960000000000001</v>
      </c>
      <c r="S8" s="61">
        <f t="shared" si="7"/>
        <v>14.122399999999999</v>
      </c>
    </row>
    <row r="9" spans="1:53" ht="16.2" thickBot="1" x14ac:dyDescent="0.3">
      <c r="A9" s="107"/>
      <c r="B9" s="150"/>
      <c r="C9" s="61">
        <v>2</v>
      </c>
      <c r="D9" s="61">
        <v>0.72</v>
      </c>
      <c r="E9" s="61">
        <v>0.57999999999999996</v>
      </c>
      <c r="F9" s="61">
        <v>1.06</v>
      </c>
      <c r="G9" s="61">
        <v>1.08</v>
      </c>
      <c r="H9" s="61">
        <v>0.81</v>
      </c>
      <c r="I9" s="61">
        <v>3.71</v>
      </c>
      <c r="N9" s="61">
        <f t="shared" ref="N9:N10" si="10">D9/2.54</f>
        <v>0.28346456692913385</v>
      </c>
      <c r="O9" s="61">
        <f t="shared" si="3"/>
        <v>1.4731999999999998</v>
      </c>
      <c r="P9" s="61">
        <f t="shared" si="4"/>
        <v>2.6924000000000001</v>
      </c>
      <c r="Q9" s="61">
        <f t="shared" si="5"/>
        <v>2.7432000000000003</v>
      </c>
      <c r="R9" s="61">
        <f t="shared" si="6"/>
        <v>2.0574000000000003</v>
      </c>
      <c r="S9" s="61">
        <f t="shared" si="7"/>
        <v>9.4234000000000009</v>
      </c>
    </row>
    <row r="10" spans="1:53" ht="16.2" thickBot="1" x14ac:dyDescent="0.3">
      <c r="A10" s="107"/>
      <c r="B10" s="151"/>
      <c r="C10" s="90">
        <v>3</v>
      </c>
      <c r="D10" s="90">
        <v>0.21</v>
      </c>
      <c r="E10" s="90">
        <v>0.12</v>
      </c>
      <c r="F10" s="90">
        <v>2.39</v>
      </c>
      <c r="G10" s="90">
        <v>1.96</v>
      </c>
      <c r="H10" s="90">
        <v>1.23</v>
      </c>
      <c r="I10" s="90">
        <v>5.86</v>
      </c>
      <c r="N10" s="61">
        <f t="shared" si="10"/>
        <v>8.2677165354330701E-2</v>
      </c>
      <c r="O10" s="61">
        <f t="shared" si="3"/>
        <v>0.30480000000000002</v>
      </c>
      <c r="P10" s="61">
        <f t="shared" si="4"/>
        <v>6.0706000000000007</v>
      </c>
      <c r="Q10" s="61">
        <f t="shared" si="5"/>
        <v>4.9783999999999997</v>
      </c>
      <c r="R10" s="61">
        <f t="shared" si="6"/>
        <v>3.1242000000000001</v>
      </c>
      <c r="S10" s="61">
        <f t="shared" si="7"/>
        <v>14.884400000000001</v>
      </c>
    </row>
    <row r="11" spans="1:53" ht="16.2" thickBot="1" x14ac:dyDescent="0.3">
      <c r="A11" s="155"/>
      <c r="B11" s="152" t="s">
        <v>13</v>
      </c>
      <c r="C11" s="124"/>
      <c r="D11" s="124">
        <f t="shared" ref="D11:I11" si="11">AVERAGE(D8:D10)</f>
        <v>0.6</v>
      </c>
      <c r="E11" s="124">
        <f t="shared" si="11"/>
        <v>0.69666666666666666</v>
      </c>
      <c r="F11" s="124">
        <f t="shared" si="11"/>
        <v>1.7933333333333337</v>
      </c>
      <c r="G11" s="124">
        <f t="shared" si="11"/>
        <v>1.2666666666666666</v>
      </c>
      <c r="H11" s="124">
        <f t="shared" si="11"/>
        <v>1.4799999999999998</v>
      </c>
      <c r="I11" s="124">
        <f t="shared" si="11"/>
        <v>5.043333333333333</v>
      </c>
      <c r="N11" s="124">
        <f t="shared" si="9"/>
        <v>1.524</v>
      </c>
      <c r="O11" s="124">
        <f t="shared" si="3"/>
        <v>1.7695333333333334</v>
      </c>
      <c r="P11" s="124">
        <f t="shared" si="4"/>
        <v>4.5550666666666677</v>
      </c>
      <c r="Q11" s="124">
        <f t="shared" si="5"/>
        <v>3.2173333333333334</v>
      </c>
      <c r="R11" s="124">
        <f t="shared" si="6"/>
        <v>3.7591999999999994</v>
      </c>
      <c r="S11" s="124">
        <f t="shared" si="7"/>
        <v>12.810066666666666</v>
      </c>
    </row>
    <row r="13" spans="1:53" ht="14.4" thickBot="1" x14ac:dyDescent="0.3"/>
    <row r="14" spans="1:53" ht="17.399999999999999" thickBot="1" x14ac:dyDescent="0.3">
      <c r="Q14" s="93" t="s">
        <v>32</v>
      </c>
      <c r="R14" s="47" t="s">
        <v>93</v>
      </c>
      <c r="S14" s="47" t="s">
        <v>94</v>
      </c>
      <c r="T14" s="48" t="s">
        <v>2</v>
      </c>
      <c r="U14" s="49" t="s">
        <v>3</v>
      </c>
      <c r="V14" s="49" t="s">
        <v>4</v>
      </c>
      <c r="W14" s="49" t="s">
        <v>5</v>
      </c>
      <c r="X14" s="49" t="s">
        <v>6</v>
      </c>
      <c r="Y14" s="49" t="s">
        <v>7</v>
      </c>
      <c r="Z14" s="156"/>
      <c r="AA14" s="156" t="str">
        <f>T14</f>
        <v>Pb</v>
      </c>
      <c r="AB14" s="156" t="str">
        <f>U14</f>
        <v>Cu</v>
      </c>
      <c r="AC14" s="156" t="str">
        <f>V14</f>
        <v>Ni</v>
      </c>
      <c r="AD14" s="156" t="str">
        <f>W14</f>
        <v>Cd</v>
      </c>
      <c r="AE14" s="156" t="str">
        <f>X14</f>
        <v>Zn</v>
      </c>
      <c r="AF14" s="156" t="str">
        <f>Y14</f>
        <v>Fe</v>
      </c>
      <c r="AH14" s="93" t="s">
        <v>32</v>
      </c>
      <c r="AI14" s="48" t="s">
        <v>2</v>
      </c>
      <c r="AJ14" s="49" t="s">
        <v>3</v>
      </c>
      <c r="AK14" s="49" t="s">
        <v>4</v>
      </c>
      <c r="AL14" s="49" t="s">
        <v>5</v>
      </c>
      <c r="AM14" s="49" t="s">
        <v>6</v>
      </c>
      <c r="AN14" s="49" t="s">
        <v>7</v>
      </c>
      <c r="AO14" s="76" t="s">
        <v>0</v>
      </c>
      <c r="AP14" s="157" t="str">
        <f>AI14</f>
        <v>Pb</v>
      </c>
      <c r="AQ14" s="157" t="str">
        <f t="shared" ref="AQ14:AT14" si="12">AJ14</f>
        <v>Cu</v>
      </c>
      <c r="AR14" s="157" t="str">
        <f t="shared" si="12"/>
        <v>Ni</v>
      </c>
      <c r="AS14" s="157" t="str">
        <f t="shared" si="12"/>
        <v>Cd</v>
      </c>
      <c r="AT14" s="157" t="str">
        <f t="shared" si="12"/>
        <v>Zn</v>
      </c>
      <c r="AU14" s="157"/>
      <c r="AW14" s="158" t="str">
        <f>AP14</f>
        <v>Pb</v>
      </c>
      <c r="AX14" s="158" t="str">
        <f t="shared" ref="AX14" si="13">AQ14</f>
        <v>Cu</v>
      </c>
      <c r="AY14" s="158" t="str">
        <f t="shared" ref="AY14" si="14">AR14</f>
        <v>Ni</v>
      </c>
      <c r="AZ14" s="158" t="str">
        <f t="shared" ref="AZ14" si="15">AS14</f>
        <v>Cd</v>
      </c>
      <c r="BA14" s="158" t="str">
        <f t="shared" ref="BA14" si="16">AT14</f>
        <v>Zn</v>
      </c>
    </row>
    <row r="15" spans="1:53" ht="17.399999999999999" thickBot="1" x14ac:dyDescent="0.35">
      <c r="Q15" s="51"/>
      <c r="R15" s="51"/>
      <c r="S15" s="52"/>
      <c r="T15" s="53"/>
      <c r="U15" s="54"/>
      <c r="V15" s="55" t="s">
        <v>8</v>
      </c>
      <c r="W15" s="54"/>
      <c r="X15" s="56"/>
      <c r="Y15" s="55" t="s">
        <v>10</v>
      </c>
      <c r="Z15" s="159"/>
      <c r="AA15" s="159"/>
      <c r="AB15" s="159"/>
      <c r="AC15" s="159"/>
      <c r="AD15" s="159"/>
      <c r="AE15" s="159"/>
      <c r="AH15"/>
      <c r="AI15" s="119"/>
      <c r="AJ15" s="119"/>
      <c r="AK15" s="119"/>
      <c r="AL15" s="119"/>
      <c r="AM15" s="120"/>
      <c r="AN15" s="115" t="s">
        <v>18</v>
      </c>
      <c r="AP15" s="160" t="s">
        <v>19</v>
      </c>
      <c r="AQ15" s="160"/>
      <c r="AR15" s="160"/>
      <c r="AS15" s="160"/>
      <c r="AT15" s="160"/>
      <c r="AU15" s="161" t="s">
        <v>92</v>
      </c>
      <c r="AW15" s="162" t="s">
        <v>83</v>
      </c>
      <c r="AX15" s="162"/>
      <c r="AY15" s="162"/>
      <c r="AZ15" s="162"/>
      <c r="BA15" s="162"/>
    </row>
    <row r="16" spans="1:53" ht="17.399999999999999" thickBot="1" x14ac:dyDescent="0.3">
      <c r="Q16" s="57">
        <v>1</v>
      </c>
      <c r="R16" s="57" t="s">
        <v>14</v>
      </c>
      <c r="S16" s="52">
        <v>1</v>
      </c>
      <c r="T16" s="58">
        <v>0.65</v>
      </c>
      <c r="U16" s="58">
        <v>1.48</v>
      </c>
      <c r="V16" s="58">
        <v>2.73</v>
      </c>
      <c r="W16" s="58">
        <v>0.96</v>
      </c>
      <c r="X16" s="58">
        <v>5.65</v>
      </c>
      <c r="Y16" s="58">
        <v>10.94</v>
      </c>
      <c r="Z16" s="163"/>
      <c r="AA16" s="164">
        <f>T16/2.54</f>
        <v>0.25590551181102361</v>
      </c>
      <c r="AB16" s="164">
        <f>U16/2.54</f>
        <v>0.58267716535433067</v>
      </c>
      <c r="AC16" s="164">
        <f>V16/2.54</f>
        <v>1.0748031496062991</v>
      </c>
      <c r="AD16" s="164">
        <f>W16/2.54</f>
        <v>0.37795275590551181</v>
      </c>
      <c r="AE16" s="164">
        <f>X16/2.54</f>
        <v>2.2244094488188977</v>
      </c>
      <c r="AF16" s="164">
        <f>Y16/2.54</f>
        <v>4.3070866141732278</v>
      </c>
      <c r="AH16" s="123">
        <f>Qpel!C5</f>
        <v>1</v>
      </c>
      <c r="AI16" s="165">
        <f>AA19</f>
        <v>0.32677165354330706</v>
      </c>
      <c r="AJ16" s="165">
        <f t="shared" ref="AJ16:AN16" si="17">AB19</f>
        <v>0.59842519685039364</v>
      </c>
      <c r="AK16" s="165">
        <f t="shared" si="17"/>
        <v>0.9855643044619421</v>
      </c>
      <c r="AL16" s="165">
        <f t="shared" si="17"/>
        <v>0.33595800524934383</v>
      </c>
      <c r="AM16" s="165">
        <f t="shared" si="17"/>
        <v>1.9829396325459319</v>
      </c>
      <c r="AN16" s="165">
        <f t="shared" si="17"/>
        <v>3.7506561679790025</v>
      </c>
      <c r="AO16" s="116">
        <v>1</v>
      </c>
      <c r="AP16" s="166">
        <f>AI16/112</f>
        <v>2.917604049493813E-3</v>
      </c>
      <c r="AQ16" s="166">
        <f>AJ16/108</f>
        <v>5.540974044911052E-3</v>
      </c>
      <c r="AR16" s="166">
        <f>AK16/8.42</f>
        <v>0.11705039245391237</v>
      </c>
      <c r="AS16" s="166">
        <f>AL16/21.4</f>
        <v>1.5698972207913265E-2</v>
      </c>
      <c r="AT16" s="166">
        <f>AM16/271</f>
        <v>7.3171204152986417E-3</v>
      </c>
      <c r="AU16" s="166">
        <f>SUM(AP16:AT16)</f>
        <v>0.14852506317152914</v>
      </c>
      <c r="AV16" s="106"/>
      <c r="AW16" s="167">
        <f>(AP16/AU16)*100</f>
        <v>1.9643849914571794</v>
      </c>
      <c r="AX16" s="167">
        <f>(AQ16/AU16)*100</f>
        <v>3.7306660078722693</v>
      </c>
      <c r="AY16" s="167">
        <f>(AR16/AU16)*100</f>
        <v>78.808512149045711</v>
      </c>
      <c r="AZ16" s="167">
        <f>(AS16/AU16)*100</f>
        <v>10.569914513204267</v>
      </c>
      <c r="BA16" s="167">
        <f>(AT16/AU16)*100</f>
        <v>4.9265223384205674</v>
      </c>
    </row>
    <row r="17" spans="17:53" ht="17.399999999999999" thickBot="1" x14ac:dyDescent="0.3">
      <c r="Q17" s="62"/>
      <c r="R17" s="62"/>
      <c r="S17" s="52">
        <v>2</v>
      </c>
      <c r="T17" s="58">
        <v>0.5</v>
      </c>
      <c r="U17" s="58">
        <v>1.23</v>
      </c>
      <c r="V17" s="58">
        <v>1.67</v>
      </c>
      <c r="W17" s="58">
        <v>0.54</v>
      </c>
      <c r="X17" s="58">
        <v>3.16</v>
      </c>
      <c r="Y17" s="58">
        <v>6.13</v>
      </c>
      <c r="Z17" s="163"/>
      <c r="AA17" s="164">
        <f>T17/2.54</f>
        <v>0.19685039370078738</v>
      </c>
      <c r="AB17" s="164">
        <f>U17/2.54</f>
        <v>0.48425196850393698</v>
      </c>
      <c r="AC17" s="164">
        <f>V17/2.54</f>
        <v>0.65748031496062986</v>
      </c>
      <c r="AD17" s="164">
        <f>W17/2.54</f>
        <v>0.2125984251968504</v>
      </c>
      <c r="AE17" s="164">
        <f>X17/2.54</f>
        <v>1.2440944881889764</v>
      </c>
      <c r="AF17" s="164">
        <f>Y17/2.54</f>
        <v>2.4133858267716533</v>
      </c>
      <c r="AH17" s="123">
        <f>Qpel!C6</f>
        <v>2</v>
      </c>
      <c r="AI17" s="168">
        <f>AA26</f>
        <v>8.2677165354330701E-2</v>
      </c>
      <c r="AJ17" s="168">
        <f t="shared" ref="AJ17:AN17" si="18">AB26</f>
        <v>0.45538057742782151</v>
      </c>
      <c r="AK17" s="168">
        <f t="shared" si="18"/>
        <v>0.78871391076115493</v>
      </c>
      <c r="AL17" s="168">
        <f t="shared" si="18"/>
        <v>0.6968503937007875</v>
      </c>
      <c r="AM17" s="168">
        <f t="shared" si="18"/>
        <v>1.484251968503937</v>
      </c>
      <c r="AN17" s="168">
        <f t="shared" si="18"/>
        <v>2.4370078740157477</v>
      </c>
      <c r="AO17" s="118">
        <v>2</v>
      </c>
      <c r="AP17" s="166">
        <f t="shared" ref="AP17:AP22" si="19">AI17/112</f>
        <v>7.3818897637795264E-4</v>
      </c>
      <c r="AQ17" s="166">
        <f t="shared" ref="AQ17:AQ22" si="20">AJ17/108</f>
        <v>4.2164868280353844E-3</v>
      </c>
      <c r="AR17" s="166">
        <f t="shared" ref="AR17:AR22" si="21">AK17/8.42</f>
        <v>9.367148583861698E-2</v>
      </c>
      <c r="AS17" s="166">
        <f t="shared" ref="AS17:AS22" si="22">AL17/21.4</f>
        <v>3.2563102509382595E-2</v>
      </c>
      <c r="AT17" s="166">
        <f t="shared" ref="AT17:AT22" si="23">AM17/271</f>
        <v>5.4769445332248602E-3</v>
      </c>
      <c r="AU17" s="166">
        <f t="shared" ref="AU17:AU22" si="24">SUM(AP17:AT17)</f>
        <v>0.13666620868563778</v>
      </c>
      <c r="AV17" s="106"/>
      <c r="AW17" s="167">
        <f>(AP17/AU17)*100</f>
        <v>0.54014008545151715</v>
      </c>
      <c r="AX17" s="167">
        <f t="shared" ref="AX17:AX22" si="25">(AQ17/AU17)*100</f>
        <v>3.0852446033197771</v>
      </c>
      <c r="AY17" s="167">
        <f t="shared" ref="AY17:AY22" si="26">(AR17/AU17)*100</f>
        <v>68.540341273446685</v>
      </c>
      <c r="AZ17" s="167">
        <f t="shared" ref="AZ17:AZ22" si="27">(AS17/AU17)*100</f>
        <v>23.82674021804824</v>
      </c>
      <c r="BA17" s="167">
        <f t="shared" ref="BA17:BA22" si="28">(AT17/AU17)*100</f>
        <v>4.0075338197337658</v>
      </c>
    </row>
    <row r="18" spans="17:53" ht="17.399999999999999" thickBot="1" x14ac:dyDescent="0.3">
      <c r="Q18" s="62"/>
      <c r="R18" s="64"/>
      <c r="S18" s="52">
        <v>3</v>
      </c>
      <c r="T18" s="58">
        <v>0.72</v>
      </c>
      <c r="U18" s="58">
        <v>1.85</v>
      </c>
      <c r="V18" s="58">
        <v>3.11</v>
      </c>
      <c r="W18" s="58">
        <v>1.06</v>
      </c>
      <c r="X18" s="58">
        <v>6.3</v>
      </c>
      <c r="Y18" s="58">
        <v>11.51</v>
      </c>
      <c r="Z18" s="163"/>
      <c r="AA18" s="164">
        <f>T18/2.54</f>
        <v>0.28346456692913385</v>
      </c>
      <c r="AB18" s="164">
        <f>U18/2.54</f>
        <v>0.72834645669291342</v>
      </c>
      <c r="AC18" s="164">
        <f>V18/2.54</f>
        <v>1.2244094488188975</v>
      </c>
      <c r="AD18" s="164">
        <f>W18/2.54</f>
        <v>0.41732283464566933</v>
      </c>
      <c r="AE18" s="164">
        <f>X18/2.54</f>
        <v>2.4803149606299213</v>
      </c>
      <c r="AF18" s="164">
        <f>Y18/2.54</f>
        <v>4.5314960629921259</v>
      </c>
      <c r="AH18" s="123">
        <f>Qpel!C7</f>
        <v>3</v>
      </c>
      <c r="AI18" s="168">
        <f>AA33</f>
        <v>0.2874015748031496</v>
      </c>
      <c r="AJ18" s="168">
        <f t="shared" ref="AJ18:AN18" si="29">AB33</f>
        <v>0.25721784776902884</v>
      </c>
      <c r="AK18" s="168">
        <f t="shared" si="29"/>
        <v>0.33858267716535434</v>
      </c>
      <c r="AL18" s="168">
        <f t="shared" si="29"/>
        <v>0.33727034120734906</v>
      </c>
      <c r="AM18" s="168">
        <f t="shared" si="29"/>
        <v>0.45931758530183725</v>
      </c>
      <c r="AN18" s="168">
        <f t="shared" si="29"/>
        <v>1.4304461942257216</v>
      </c>
      <c r="AO18" s="118">
        <v>3</v>
      </c>
      <c r="AP18" s="166">
        <f t="shared" si="19"/>
        <v>2.5660854893138356E-3</v>
      </c>
      <c r="AQ18" s="166">
        <f t="shared" si="20"/>
        <v>2.381646738602119E-3</v>
      </c>
      <c r="AR18" s="166">
        <f t="shared" si="21"/>
        <v>4.0211719378308114E-2</v>
      </c>
      <c r="AS18" s="166">
        <f t="shared" si="22"/>
        <v>1.5760296318100425E-2</v>
      </c>
      <c r="AT18" s="166">
        <f t="shared" si="23"/>
        <v>1.6948988387521669E-3</v>
      </c>
      <c r="AU18" s="166">
        <f t="shared" si="24"/>
        <v>6.2614646763076653E-2</v>
      </c>
      <c r="AV18" s="106"/>
      <c r="AW18" s="167">
        <f t="shared" ref="AW18:AW22" si="30">(AP18/AU18)*100</f>
        <v>4.0982192218115898</v>
      </c>
      <c r="AX18" s="167">
        <f t="shared" si="25"/>
        <v>3.8036575493492313</v>
      </c>
      <c r="AY18" s="167">
        <f t="shared" si="26"/>
        <v>64.220947425388403</v>
      </c>
      <c r="AZ18" s="167">
        <f t="shared" si="27"/>
        <v>25.170303008710963</v>
      </c>
      <c r="BA18" s="167">
        <f t="shared" si="28"/>
        <v>2.7068727947398323</v>
      </c>
    </row>
    <row r="19" spans="17:53" ht="17.399999999999999" thickBot="1" x14ac:dyDescent="0.3">
      <c r="Q19" s="62"/>
      <c r="R19" s="57" t="s">
        <v>12</v>
      </c>
      <c r="S19" s="52">
        <v>1</v>
      </c>
      <c r="T19" s="58">
        <v>0.83</v>
      </c>
      <c r="U19" s="58">
        <v>2.0299999999999998</v>
      </c>
      <c r="V19" s="58">
        <v>4.1900000000000004</v>
      </c>
      <c r="W19" s="58">
        <v>1.71</v>
      </c>
      <c r="X19" s="58">
        <v>5.86</v>
      </c>
      <c r="Y19" s="58">
        <v>8.11</v>
      </c>
      <c r="Z19" s="163"/>
      <c r="AA19" s="164">
        <f>T19/2.54</f>
        <v>0.32677165354330706</v>
      </c>
      <c r="AB19" s="169">
        <f t="shared" ref="AB19:AF19" si="31">AVERAGE(AB16:AB18)</f>
        <v>0.59842519685039364</v>
      </c>
      <c r="AC19" s="169">
        <f t="shared" si="31"/>
        <v>0.9855643044619421</v>
      </c>
      <c r="AD19" s="169">
        <f t="shared" si="31"/>
        <v>0.33595800524934383</v>
      </c>
      <c r="AE19" s="169">
        <f t="shared" si="31"/>
        <v>1.9829396325459319</v>
      </c>
      <c r="AF19" s="169">
        <f t="shared" si="31"/>
        <v>3.7506561679790025</v>
      </c>
      <c r="AH19" s="123">
        <f>Qpel!C8</f>
        <v>4</v>
      </c>
      <c r="AI19" s="168">
        <f>AA40</f>
        <v>0.37401574803149606</v>
      </c>
      <c r="AJ19" s="168">
        <f t="shared" ref="AJ19:AN19" si="32">AB40</f>
        <v>0.44750656167979003</v>
      </c>
      <c r="AK19" s="168">
        <f t="shared" si="32"/>
        <v>0.75459317585301833</v>
      </c>
      <c r="AL19" s="168">
        <f t="shared" si="32"/>
        <v>0.40419947506561682</v>
      </c>
      <c r="AM19" s="168">
        <f t="shared" si="32"/>
        <v>1.146981627296588</v>
      </c>
      <c r="AN19" s="168">
        <f t="shared" si="32"/>
        <v>2.4580052493438322</v>
      </c>
      <c r="AO19" s="118">
        <v>4</v>
      </c>
      <c r="AP19" s="166">
        <f t="shared" si="19"/>
        <v>3.3394263217097864E-3</v>
      </c>
      <c r="AQ19" s="166">
        <f t="shared" si="20"/>
        <v>4.1435792748128709E-3</v>
      </c>
      <c r="AR19" s="166">
        <f t="shared" si="21"/>
        <v>8.9619142025299095E-2</v>
      </c>
      <c r="AS19" s="166">
        <f t="shared" si="22"/>
        <v>1.8887825937645646E-2</v>
      </c>
      <c r="AT19" s="166">
        <f t="shared" si="23"/>
        <v>4.2324045287696977E-3</v>
      </c>
      <c r="AU19" s="166">
        <f t="shared" si="24"/>
        <v>0.12022237808823709</v>
      </c>
      <c r="AV19" s="106"/>
      <c r="AW19" s="167">
        <f t="shared" si="30"/>
        <v>2.7777077569192796</v>
      </c>
      <c r="AX19" s="167">
        <f t="shared" si="25"/>
        <v>3.4465956677147873</v>
      </c>
      <c r="AY19" s="167">
        <f t="shared" si="26"/>
        <v>74.544476203526116</v>
      </c>
      <c r="AZ19" s="167">
        <f t="shared" si="27"/>
        <v>15.710740577584437</v>
      </c>
      <c r="BA19" s="167">
        <f t="shared" si="28"/>
        <v>3.5204797942553832</v>
      </c>
    </row>
    <row r="20" spans="17:53" ht="17.399999999999999" thickBot="1" x14ac:dyDescent="0.3">
      <c r="Q20" s="62"/>
      <c r="R20" s="62"/>
      <c r="S20" s="52">
        <v>2</v>
      </c>
      <c r="T20" s="58">
        <v>1.02</v>
      </c>
      <c r="U20" s="58">
        <v>1.6</v>
      </c>
      <c r="V20" s="58">
        <v>3.52</v>
      </c>
      <c r="W20" s="58">
        <v>1.33</v>
      </c>
      <c r="X20" s="58">
        <v>5.2</v>
      </c>
      <c r="Y20" s="58">
        <v>6.72</v>
      </c>
      <c r="Z20" s="163"/>
      <c r="AA20" s="164"/>
      <c r="AB20" s="163"/>
      <c r="AC20" s="163"/>
      <c r="AD20" s="163"/>
      <c r="AE20" s="163"/>
      <c r="AF20" s="163"/>
      <c r="AH20" s="123">
        <f>Qpel!C9</f>
        <v>5</v>
      </c>
      <c r="AI20" s="168">
        <f>AA47</f>
        <v>0.2874015748031496</v>
      </c>
      <c r="AJ20" s="168">
        <f t="shared" ref="AJ20:AN20" si="33">AB47</f>
        <v>2.6246666666666667</v>
      </c>
      <c r="AK20" s="168">
        <f t="shared" si="33"/>
        <v>4.2164000000000001</v>
      </c>
      <c r="AL20" s="168">
        <f t="shared" si="33"/>
        <v>2.0912666666666664</v>
      </c>
      <c r="AM20" s="168">
        <f t="shared" si="33"/>
        <v>9.4572666666666674</v>
      </c>
      <c r="AN20" s="168">
        <f t="shared" si="33"/>
        <v>9.9822000000000006</v>
      </c>
      <c r="AO20" s="118">
        <v>5</v>
      </c>
      <c r="AP20" s="166">
        <f t="shared" si="19"/>
        <v>2.5660854893138356E-3</v>
      </c>
      <c r="AQ20" s="166">
        <f t="shared" si="20"/>
        <v>2.430246913580247E-2</v>
      </c>
      <c r="AR20" s="166">
        <f t="shared" si="21"/>
        <v>0.50076009501187646</v>
      </c>
      <c r="AS20" s="166">
        <f t="shared" si="22"/>
        <v>9.7722741433021801E-2</v>
      </c>
      <c r="AT20" s="166">
        <f t="shared" si="23"/>
        <v>3.4897662976629766E-2</v>
      </c>
      <c r="AU20" s="166">
        <f t="shared" si="24"/>
        <v>0.66024905404664436</v>
      </c>
      <c r="AV20" s="106"/>
      <c r="AW20" s="167">
        <f t="shared" si="30"/>
        <v>0.38865417126861196</v>
      </c>
      <c r="AX20" s="167">
        <f t="shared" si="25"/>
        <v>3.6808033251775902</v>
      </c>
      <c r="AY20" s="167">
        <f t="shared" si="26"/>
        <v>75.844121539097202</v>
      </c>
      <c r="AZ20" s="167">
        <f t="shared" si="27"/>
        <v>14.800890790237773</v>
      </c>
      <c r="BA20" s="167">
        <f t="shared" si="28"/>
        <v>5.2855301742188283</v>
      </c>
    </row>
    <row r="21" spans="17:53" ht="17.399999999999999" thickBot="1" x14ac:dyDescent="0.3">
      <c r="Q21" s="63"/>
      <c r="R21" s="64"/>
      <c r="S21" s="52">
        <v>3</v>
      </c>
      <c r="T21" s="58">
        <v>0.95</v>
      </c>
      <c r="U21" s="58">
        <v>2.54</v>
      </c>
      <c r="V21" s="58">
        <v>5.59</v>
      </c>
      <c r="W21" s="58">
        <v>2.2599999999999998</v>
      </c>
      <c r="X21" s="58">
        <v>8.3800000000000008</v>
      </c>
      <c r="Y21" s="58">
        <v>10.94</v>
      </c>
      <c r="Z21" s="163"/>
      <c r="AA21" s="164"/>
      <c r="AB21" s="163"/>
      <c r="AC21" s="163"/>
      <c r="AD21" s="163"/>
      <c r="AE21" s="163"/>
      <c r="AF21" s="163"/>
      <c r="AH21" s="123" t="str">
        <f>Qpel!C10</f>
        <v xml:space="preserve">Control1 </v>
      </c>
      <c r="AI21" s="171">
        <v>1.3461999999999998</v>
      </c>
      <c r="AJ21" s="171">
        <v>2.2182666666666671</v>
      </c>
      <c r="AK21" s="171">
        <v>6.6378666666666666</v>
      </c>
      <c r="AL21" s="171">
        <v>2.1505333333333332</v>
      </c>
      <c r="AM21" s="171">
        <v>11.108266666666665</v>
      </c>
      <c r="AN21" s="171">
        <v>13.589000000000002</v>
      </c>
      <c r="AO21" s="170" t="s">
        <v>15</v>
      </c>
      <c r="AP21" s="166">
        <f t="shared" si="19"/>
        <v>1.2019642857142855E-2</v>
      </c>
      <c r="AQ21" s="166">
        <f t="shared" si="20"/>
        <v>2.0539506172839509E-2</v>
      </c>
      <c r="AR21" s="166">
        <f t="shared" si="21"/>
        <v>0.78834520981789391</v>
      </c>
      <c r="AS21" s="166">
        <f t="shared" si="22"/>
        <v>0.10049221183800623</v>
      </c>
      <c r="AT21" s="166">
        <f t="shared" si="23"/>
        <v>4.0989913899138988E-2</v>
      </c>
      <c r="AU21" s="166">
        <f t="shared" si="24"/>
        <v>0.96238648458502152</v>
      </c>
      <c r="AV21" s="106"/>
      <c r="AW21" s="167">
        <f t="shared" si="30"/>
        <v>1.2489413608427484</v>
      </c>
      <c r="AX21" s="167">
        <f t="shared" si="25"/>
        <v>2.1342263738976017</v>
      </c>
      <c r="AY21" s="167">
        <f t="shared" si="26"/>
        <v>81.915656801625417</v>
      </c>
      <c r="AZ21" s="167">
        <f t="shared" si="27"/>
        <v>10.441980789177251</v>
      </c>
      <c r="BA21" s="167">
        <f t="shared" si="28"/>
        <v>4.2591946744569809</v>
      </c>
    </row>
    <row r="22" spans="17:53" ht="17.399999999999999" thickBot="1" x14ac:dyDescent="0.3">
      <c r="Q22" s="99"/>
      <c r="R22" s="99"/>
      <c r="S22" s="52"/>
      <c r="T22" s="172">
        <f>AVERAGE(T16:T21)</f>
        <v>0.77833333333333332</v>
      </c>
      <c r="U22" s="172">
        <f t="shared" ref="U22:Y22" si="34">AVERAGE(U16:U21)</f>
        <v>1.7883333333333333</v>
      </c>
      <c r="V22" s="172">
        <f t="shared" si="34"/>
        <v>3.4683333333333333</v>
      </c>
      <c r="W22" s="172">
        <f t="shared" si="34"/>
        <v>1.3099999999999998</v>
      </c>
      <c r="X22" s="172">
        <f t="shared" si="34"/>
        <v>5.7583333333333329</v>
      </c>
      <c r="Y22" s="172">
        <f t="shared" si="34"/>
        <v>9.0583333333333318</v>
      </c>
      <c r="Z22" s="169"/>
      <c r="AA22" s="164"/>
      <c r="AB22" s="163"/>
      <c r="AC22" s="163"/>
      <c r="AD22" s="163"/>
      <c r="AE22" s="163"/>
      <c r="AF22" s="163"/>
      <c r="AH22" s="123" t="str">
        <f>Qpel!C11</f>
        <v>Control2</v>
      </c>
      <c r="AI22" s="174">
        <v>1.524</v>
      </c>
      <c r="AJ22" s="174">
        <v>1.7695333333333334</v>
      </c>
      <c r="AK22" s="174">
        <v>4.5550666666666677</v>
      </c>
      <c r="AL22" s="174">
        <v>3.2173333333333334</v>
      </c>
      <c r="AM22" s="174">
        <v>3.7591999999999994</v>
      </c>
      <c r="AN22" s="174">
        <v>12.810066666666666</v>
      </c>
      <c r="AO22" s="173" t="s">
        <v>16</v>
      </c>
      <c r="AP22" s="166">
        <f t="shared" si="19"/>
        <v>1.3607142857142858E-2</v>
      </c>
      <c r="AQ22" s="166">
        <f t="shared" si="20"/>
        <v>1.6384567901234569E-2</v>
      </c>
      <c r="AR22" s="166">
        <f t="shared" si="21"/>
        <v>0.54098178939034058</v>
      </c>
      <c r="AS22" s="166">
        <f t="shared" si="22"/>
        <v>0.15034267912772586</v>
      </c>
      <c r="AT22" s="166">
        <f t="shared" si="23"/>
        <v>1.3871586715867157E-2</v>
      </c>
      <c r="AU22" s="166">
        <f t="shared" si="24"/>
        <v>0.73518776599231117</v>
      </c>
      <c r="AV22" s="106"/>
      <c r="AW22" s="167">
        <f t="shared" si="30"/>
        <v>1.850839130705171</v>
      </c>
      <c r="AX22" s="167">
        <f t="shared" si="25"/>
        <v>2.2286235787832633</v>
      </c>
      <c r="AY22" s="167">
        <f t="shared" si="26"/>
        <v>73.584166442181839</v>
      </c>
      <c r="AZ22" s="167">
        <f t="shared" si="27"/>
        <v>20.449562150262739</v>
      </c>
      <c r="BA22" s="167">
        <f t="shared" si="28"/>
        <v>1.8868086980669683</v>
      </c>
    </row>
    <row r="23" spans="17:53" ht="17.399999999999999" thickBot="1" x14ac:dyDescent="0.3">
      <c r="Q23" s="65">
        <v>2</v>
      </c>
      <c r="R23" s="57" t="s">
        <v>14</v>
      </c>
      <c r="S23" s="52">
        <v>1</v>
      </c>
      <c r="T23" s="58">
        <v>0.17</v>
      </c>
      <c r="U23" s="58">
        <v>0.85</v>
      </c>
      <c r="V23" s="58">
        <v>1.86</v>
      </c>
      <c r="W23" s="58">
        <v>1.1100000000000001</v>
      </c>
      <c r="X23" s="58">
        <v>2.58</v>
      </c>
      <c r="Y23" s="58">
        <v>3.98</v>
      </c>
      <c r="Z23" s="163"/>
      <c r="AA23" s="164">
        <f>T23/2.54</f>
        <v>6.6929133858267723E-2</v>
      </c>
      <c r="AB23" s="164">
        <f>U23/2.54</f>
        <v>0.33464566929133854</v>
      </c>
      <c r="AC23" s="164">
        <f>V23/2.54</f>
        <v>0.73228346456692917</v>
      </c>
      <c r="AD23" s="164">
        <f>W23/2.54</f>
        <v>0.43700787401574809</v>
      </c>
      <c r="AE23" s="164">
        <f>X23/2.54</f>
        <v>1.015748031496063</v>
      </c>
      <c r="AF23" s="164">
        <f>Y23/2.54</f>
        <v>1.5669291338582676</v>
      </c>
      <c r="AW23" s="167">
        <f>AVERAGE(AW16:AW22)</f>
        <v>1.8384123883508712</v>
      </c>
      <c r="AX23" s="167">
        <f t="shared" ref="AX23:BA23" si="35">AVERAGE(AX16:AX22)</f>
        <v>3.1585453008735027</v>
      </c>
      <c r="AY23" s="167">
        <f t="shared" si="35"/>
        <v>73.922603119187343</v>
      </c>
      <c r="AZ23" s="167">
        <f t="shared" si="35"/>
        <v>17.281447435317951</v>
      </c>
      <c r="BA23" s="167">
        <f t="shared" si="35"/>
        <v>3.7989917562703326</v>
      </c>
    </row>
    <row r="24" spans="17:53" ht="17.399999999999999" thickBot="1" x14ac:dyDescent="0.3">
      <c r="Q24" s="62"/>
      <c r="R24" s="62"/>
      <c r="S24" s="52">
        <v>2</v>
      </c>
      <c r="T24" s="58">
        <v>0.28000000000000003</v>
      </c>
      <c r="U24" s="58">
        <v>1.52</v>
      </c>
      <c r="V24" s="58">
        <v>1.49</v>
      </c>
      <c r="W24" s="58">
        <v>2.4700000000000002</v>
      </c>
      <c r="X24" s="58">
        <v>5.08</v>
      </c>
      <c r="Y24" s="58">
        <v>8.59</v>
      </c>
      <c r="Z24" s="163"/>
      <c r="AA24" s="164">
        <f>T24/2.54</f>
        <v>0.11023622047244096</v>
      </c>
      <c r="AB24" s="164">
        <f>U24/2.54</f>
        <v>0.59842519685039375</v>
      </c>
      <c r="AC24" s="164">
        <f>V24/2.54</f>
        <v>0.58661417322834641</v>
      </c>
      <c r="AD24" s="164">
        <f>W24/2.54</f>
        <v>0.97244094488188981</v>
      </c>
      <c r="AE24" s="164">
        <f>X24/2.54</f>
        <v>2</v>
      </c>
      <c r="AF24" s="164">
        <f>Y24/2.54</f>
        <v>3.3818897637795273</v>
      </c>
    </row>
    <row r="25" spans="17:53" ht="17.399999999999999" thickBot="1" x14ac:dyDescent="0.3">
      <c r="Q25" s="62"/>
      <c r="R25" s="64"/>
      <c r="S25" s="52">
        <v>3</v>
      </c>
      <c r="T25" s="58">
        <v>0.18</v>
      </c>
      <c r="U25" s="58">
        <v>1.1000000000000001</v>
      </c>
      <c r="V25" s="58">
        <v>2.66</v>
      </c>
      <c r="W25" s="58">
        <v>1.73</v>
      </c>
      <c r="X25" s="58">
        <v>3.65</v>
      </c>
      <c r="Y25" s="58">
        <v>6</v>
      </c>
      <c r="Z25" s="163"/>
      <c r="AA25" s="164">
        <f>T25/2.54</f>
        <v>7.0866141732283464E-2</v>
      </c>
      <c r="AB25" s="164">
        <f>U25/2.54</f>
        <v>0.43307086614173229</v>
      </c>
      <c r="AC25" s="164">
        <f>V25/2.54</f>
        <v>1.0472440944881891</v>
      </c>
      <c r="AD25" s="164">
        <f>W25/2.54</f>
        <v>0.68110236220472442</v>
      </c>
      <c r="AE25" s="164">
        <f>X25/2.54</f>
        <v>1.4370078740157479</v>
      </c>
      <c r="AF25" s="164">
        <f>Y25/2.54</f>
        <v>2.3622047244094486</v>
      </c>
    </row>
    <row r="26" spans="17:53" ht="17.399999999999999" thickBot="1" x14ac:dyDescent="0.3">
      <c r="Q26" s="62"/>
      <c r="R26" s="57" t="s">
        <v>12</v>
      </c>
      <c r="S26" s="52">
        <v>1</v>
      </c>
      <c r="T26" s="58">
        <v>0.21</v>
      </c>
      <c r="U26" s="58">
        <v>1.48</v>
      </c>
      <c r="V26" s="58">
        <v>2.35</v>
      </c>
      <c r="W26" s="58">
        <v>1.06</v>
      </c>
      <c r="X26" s="58">
        <v>5.18</v>
      </c>
      <c r="Y26" s="58">
        <v>5.71</v>
      </c>
      <c r="Z26" s="163"/>
      <c r="AA26" s="164">
        <f>T26/2.54</f>
        <v>8.2677165354330701E-2</v>
      </c>
      <c r="AB26" s="169">
        <f t="shared" ref="AB26:AF26" si="36">AVERAGE(AB23:AB25)</f>
        <v>0.45538057742782151</v>
      </c>
      <c r="AC26" s="169">
        <f t="shared" si="36"/>
        <v>0.78871391076115493</v>
      </c>
      <c r="AD26" s="169">
        <f t="shared" si="36"/>
        <v>0.6968503937007875</v>
      </c>
      <c r="AE26" s="169">
        <f t="shared" si="36"/>
        <v>1.484251968503937</v>
      </c>
      <c r="AF26" s="169">
        <f t="shared" si="36"/>
        <v>2.4370078740157477</v>
      </c>
      <c r="AR26" s="46" t="s">
        <v>2</v>
      </c>
      <c r="AS26" s="46" t="s">
        <v>3</v>
      </c>
      <c r="AT26" s="46" t="s">
        <v>4</v>
      </c>
      <c r="AU26" s="46" t="s">
        <v>5</v>
      </c>
      <c r="AV26" s="46" t="s">
        <v>6</v>
      </c>
    </row>
    <row r="27" spans="17:53" ht="17.399999999999999" thickBot="1" x14ac:dyDescent="0.3">
      <c r="Q27" s="62"/>
      <c r="R27" s="62"/>
      <c r="S27" s="52">
        <v>2</v>
      </c>
      <c r="T27" s="58">
        <v>0.34</v>
      </c>
      <c r="U27" s="58">
        <v>2.2000000000000002</v>
      </c>
      <c r="V27" s="58">
        <v>3.62</v>
      </c>
      <c r="W27" s="58">
        <v>1.74</v>
      </c>
      <c r="X27" s="58">
        <v>0.79</v>
      </c>
      <c r="Y27" s="58">
        <v>9.27</v>
      </c>
      <c r="Z27" s="163"/>
      <c r="AA27" s="164"/>
      <c r="AB27" s="163"/>
      <c r="AC27" s="163"/>
      <c r="AD27" s="163"/>
      <c r="AE27" s="163"/>
      <c r="AF27" s="163"/>
      <c r="AR27" s="46" t="s">
        <v>19</v>
      </c>
    </row>
    <row r="28" spans="17:53" ht="17.399999999999999" thickBot="1" x14ac:dyDescent="0.3">
      <c r="Q28" s="64"/>
      <c r="R28" s="64"/>
      <c r="S28" s="52">
        <v>3</v>
      </c>
      <c r="T28" s="58">
        <v>0.31</v>
      </c>
      <c r="U28" s="58">
        <v>1.76</v>
      </c>
      <c r="V28" s="58">
        <v>3.35</v>
      </c>
      <c r="W28" s="58">
        <v>1.54</v>
      </c>
      <c r="X28" s="58">
        <v>7.11</v>
      </c>
      <c r="Y28" s="58">
        <v>7.89</v>
      </c>
      <c r="Z28" s="163"/>
      <c r="AA28" s="164"/>
      <c r="AB28" s="163"/>
      <c r="AC28" s="163"/>
      <c r="AD28" s="163"/>
      <c r="AE28" s="163"/>
      <c r="AF28" s="163"/>
      <c r="AR28" s="46">
        <v>2.917604049493813E-3</v>
      </c>
      <c r="AS28" s="46">
        <v>5.540974044911052E-3</v>
      </c>
      <c r="AT28" s="46">
        <v>0.11705039245391237</v>
      </c>
      <c r="AU28" s="46">
        <v>1.5698972207913265E-2</v>
      </c>
      <c r="AV28" s="46">
        <v>7.3171204152986417E-3</v>
      </c>
    </row>
    <row r="29" spans="17:53" ht="17.399999999999999" thickBot="1" x14ac:dyDescent="0.3">
      <c r="Q29" s="99"/>
      <c r="R29" s="99"/>
      <c r="S29" s="52"/>
      <c r="T29" s="172">
        <f>AVERAGE(T23:T28)</f>
        <v>0.24833333333333338</v>
      </c>
      <c r="U29" s="172">
        <f t="shared" ref="U29:Y29" si="37">AVERAGE(U23:U28)</f>
        <v>1.4850000000000001</v>
      </c>
      <c r="V29" s="172">
        <f t="shared" si="37"/>
        <v>2.5550000000000002</v>
      </c>
      <c r="W29" s="172">
        <f t="shared" si="37"/>
        <v>1.6083333333333336</v>
      </c>
      <c r="X29" s="172">
        <f t="shared" si="37"/>
        <v>4.0650000000000004</v>
      </c>
      <c r="Y29" s="172">
        <f t="shared" si="37"/>
        <v>6.9066666666666663</v>
      </c>
      <c r="Z29" s="169"/>
      <c r="AA29" s="164"/>
      <c r="AB29" s="163"/>
      <c r="AC29" s="163"/>
      <c r="AD29" s="163"/>
      <c r="AE29" s="163"/>
      <c r="AF29" s="163"/>
      <c r="AR29" s="46">
        <v>7.3818897637795264E-4</v>
      </c>
      <c r="AS29" s="46">
        <v>4.2164868280353844E-3</v>
      </c>
      <c r="AT29" s="46">
        <v>9.367148583861698E-2</v>
      </c>
      <c r="AU29" s="46">
        <v>3.2563102509382595E-2</v>
      </c>
      <c r="AV29" s="46">
        <v>5.4769445332248602E-3</v>
      </c>
    </row>
    <row r="30" spans="17:53" ht="17.399999999999999" thickBot="1" x14ac:dyDescent="0.3">
      <c r="Q30" s="57">
        <v>3</v>
      </c>
      <c r="R30" s="57" t="s">
        <v>14</v>
      </c>
      <c r="S30" s="52">
        <v>1</v>
      </c>
      <c r="T30" s="58">
        <v>0.51</v>
      </c>
      <c r="U30" s="58">
        <v>0.6</v>
      </c>
      <c r="V30" s="58">
        <v>0.69</v>
      </c>
      <c r="W30" s="58">
        <v>0.78</v>
      </c>
      <c r="X30" s="58">
        <v>1.0900000000000001</v>
      </c>
      <c r="Y30" s="58">
        <v>1.2</v>
      </c>
      <c r="Z30" s="163"/>
      <c r="AA30" s="164">
        <f>T30/2.54</f>
        <v>0.20078740157480315</v>
      </c>
      <c r="AB30" s="164">
        <f>U30/2.54</f>
        <v>0.23622047244094488</v>
      </c>
      <c r="AC30" s="164">
        <f>V30/2.54</f>
        <v>0.27165354330708658</v>
      </c>
      <c r="AD30" s="164">
        <f>W30/2.54</f>
        <v>0.30708661417322836</v>
      </c>
      <c r="AE30" s="164">
        <f>X30/2.54</f>
        <v>0.42913385826771655</v>
      </c>
      <c r="AF30" s="164">
        <f>Y30/2.54</f>
        <v>0.47244094488188976</v>
      </c>
      <c r="AR30" s="46">
        <v>2.5660854893138356E-3</v>
      </c>
      <c r="AS30" s="46">
        <v>2.381646738602119E-3</v>
      </c>
      <c r="AT30" s="46">
        <v>4.0211719378308114E-2</v>
      </c>
      <c r="AU30" s="46">
        <v>1.5760296318100425E-2</v>
      </c>
      <c r="AV30" s="46">
        <v>1.6948988387521669E-3</v>
      </c>
    </row>
    <row r="31" spans="17:53" ht="17.399999999999999" thickBot="1" x14ac:dyDescent="0.3">
      <c r="Q31" s="62"/>
      <c r="R31" s="62"/>
      <c r="S31" s="52">
        <v>2</v>
      </c>
      <c r="T31" s="58">
        <v>0.62</v>
      </c>
      <c r="U31" s="58">
        <v>0.71</v>
      </c>
      <c r="V31" s="58">
        <v>0.84</v>
      </c>
      <c r="W31" s="58">
        <v>0.95</v>
      </c>
      <c r="X31" s="58">
        <v>1.28</v>
      </c>
      <c r="Y31" s="58">
        <v>4.07</v>
      </c>
      <c r="Z31" s="163"/>
      <c r="AA31" s="164">
        <f>T31/2.54</f>
        <v>0.24409448818897636</v>
      </c>
      <c r="AB31" s="164">
        <f>U31/2.54</f>
        <v>0.27952755905511811</v>
      </c>
      <c r="AC31" s="164">
        <f>V31/2.54</f>
        <v>0.3307086614173228</v>
      </c>
      <c r="AD31" s="164">
        <f>W31/2.54</f>
        <v>0.37401574803149606</v>
      </c>
      <c r="AE31" s="164">
        <f>X31/2.54</f>
        <v>0.50393700787401574</v>
      </c>
      <c r="AF31" s="164">
        <f>Y31/2.54</f>
        <v>1.6023622047244095</v>
      </c>
      <c r="AR31" s="46">
        <v>3.3394263217097864E-3</v>
      </c>
      <c r="AS31" s="46">
        <v>4.1435792748128709E-3</v>
      </c>
      <c r="AT31" s="46">
        <v>8.9619142025299095E-2</v>
      </c>
      <c r="AU31" s="46">
        <v>1.8887825937645646E-2</v>
      </c>
      <c r="AV31" s="46">
        <v>4.2324045287696977E-3</v>
      </c>
    </row>
    <row r="32" spans="17:53" ht="17.399999999999999" thickBot="1" x14ac:dyDescent="0.3">
      <c r="Q32" s="62"/>
      <c r="R32" s="64"/>
      <c r="S32" s="52">
        <v>3</v>
      </c>
      <c r="T32" s="58">
        <v>0.55000000000000004</v>
      </c>
      <c r="U32" s="58">
        <v>0.65</v>
      </c>
      <c r="V32" s="58">
        <v>1.05</v>
      </c>
      <c r="W32" s="58">
        <v>0.84</v>
      </c>
      <c r="X32" s="58">
        <v>1.1299999999999999</v>
      </c>
      <c r="Y32" s="58">
        <v>5.63</v>
      </c>
      <c r="Z32" s="163"/>
      <c r="AA32" s="164">
        <f>T32/2.54</f>
        <v>0.21653543307086615</v>
      </c>
      <c r="AB32" s="164">
        <f>U32/2.54</f>
        <v>0.25590551181102361</v>
      </c>
      <c r="AC32" s="164">
        <f>V32/2.54</f>
        <v>0.41338582677165353</v>
      </c>
      <c r="AD32" s="164">
        <f>W32/2.54</f>
        <v>0.3307086614173228</v>
      </c>
      <c r="AE32" s="164">
        <f>X32/2.54</f>
        <v>0.44488188976377946</v>
      </c>
      <c r="AF32" s="164">
        <f>Y32/2.54</f>
        <v>2.2165354330708662</v>
      </c>
      <c r="AR32" s="46">
        <v>2.5660854893138356E-3</v>
      </c>
      <c r="AS32" s="46">
        <v>2.430246913580247E-2</v>
      </c>
      <c r="AT32" s="46">
        <v>0.50076009501187646</v>
      </c>
      <c r="AU32" s="46">
        <v>9.7722741433021801E-2</v>
      </c>
      <c r="AV32" s="46">
        <v>3.4897662976629766E-2</v>
      </c>
    </row>
    <row r="33" spans="17:48" ht="17.399999999999999" thickBot="1" x14ac:dyDescent="0.3">
      <c r="Q33" s="62"/>
      <c r="R33" s="57" t="s">
        <v>12</v>
      </c>
      <c r="S33" s="52">
        <v>1</v>
      </c>
      <c r="T33" s="58">
        <v>0.73</v>
      </c>
      <c r="U33" s="58">
        <v>0.82</v>
      </c>
      <c r="V33" s="58">
        <v>1</v>
      </c>
      <c r="W33" s="58">
        <v>1.1200000000000001</v>
      </c>
      <c r="X33" s="58">
        <v>1.56</v>
      </c>
      <c r="Y33" s="58">
        <v>8.4600000000000009</v>
      </c>
      <c r="Z33" s="163"/>
      <c r="AA33" s="164">
        <f>T33/2.54</f>
        <v>0.2874015748031496</v>
      </c>
      <c r="AB33" s="169">
        <f t="shared" ref="AB33:AF33" si="38">AVERAGE(AB30:AB32)</f>
        <v>0.25721784776902884</v>
      </c>
      <c r="AC33" s="169">
        <f t="shared" si="38"/>
        <v>0.33858267716535434</v>
      </c>
      <c r="AD33" s="169">
        <f t="shared" si="38"/>
        <v>0.33727034120734906</v>
      </c>
      <c r="AE33" s="169">
        <f t="shared" si="38"/>
        <v>0.45931758530183725</v>
      </c>
      <c r="AF33" s="169">
        <f t="shared" si="38"/>
        <v>1.4304461942257216</v>
      </c>
      <c r="AR33" s="46">
        <v>1.2019642857142855E-2</v>
      </c>
      <c r="AS33" s="46">
        <v>2.0539506172839509E-2</v>
      </c>
      <c r="AT33" s="46">
        <v>0.78834520981789391</v>
      </c>
      <c r="AU33" s="46">
        <v>0.10049221183800623</v>
      </c>
      <c r="AV33" s="46">
        <v>4.0989913899138988E-2</v>
      </c>
    </row>
    <row r="34" spans="17:48" ht="17.399999999999999" thickBot="1" x14ac:dyDescent="0.3">
      <c r="Q34" s="62"/>
      <c r="R34" s="62"/>
      <c r="S34" s="52">
        <v>2</v>
      </c>
      <c r="T34" s="58">
        <v>0.83</v>
      </c>
      <c r="U34" s="58">
        <v>0.96</v>
      </c>
      <c r="V34" s="58">
        <v>0.86</v>
      </c>
      <c r="W34" s="58">
        <v>1.39</v>
      </c>
      <c r="X34" s="58">
        <v>1.72</v>
      </c>
      <c r="Y34" s="58">
        <v>2.16</v>
      </c>
      <c r="Z34" s="163"/>
      <c r="AA34" s="164"/>
      <c r="AB34" s="163"/>
      <c r="AC34" s="163"/>
      <c r="AD34" s="163"/>
      <c r="AE34" s="163"/>
      <c r="AF34" s="163"/>
      <c r="AR34" s="46">
        <v>1.3607142857142858E-2</v>
      </c>
      <c r="AS34" s="46">
        <v>1.6384567901234569E-2</v>
      </c>
      <c r="AT34" s="46">
        <v>0.54098178939034058</v>
      </c>
      <c r="AU34" s="46">
        <v>0.15034267912772586</v>
      </c>
      <c r="AV34" s="46">
        <v>1.3871586715867157E-2</v>
      </c>
    </row>
    <row r="35" spans="17:48" ht="17.399999999999999" thickBot="1" x14ac:dyDescent="0.3">
      <c r="Q35" s="63"/>
      <c r="R35" s="64"/>
      <c r="S35" s="52">
        <v>3</v>
      </c>
      <c r="T35" s="58">
        <v>0.72</v>
      </c>
      <c r="U35" s="58">
        <v>1.21</v>
      </c>
      <c r="V35" s="58">
        <v>1.27</v>
      </c>
      <c r="W35" s="58">
        <v>1.1499999999999999</v>
      </c>
      <c r="X35" s="58">
        <v>1.76</v>
      </c>
      <c r="Y35" s="58">
        <v>1.89</v>
      </c>
      <c r="Z35" s="163"/>
      <c r="AA35" s="164"/>
      <c r="AB35" s="163"/>
      <c r="AC35" s="163"/>
      <c r="AD35" s="163"/>
      <c r="AE35" s="163"/>
      <c r="AF35" s="163"/>
    </row>
    <row r="36" spans="17:48" ht="17.399999999999999" thickBot="1" x14ac:dyDescent="0.3">
      <c r="Q36" s="99"/>
      <c r="R36" s="99"/>
      <c r="S36" s="52"/>
      <c r="T36" s="175">
        <f>AVERAGE(T30:T35)</f>
        <v>0.66</v>
      </c>
      <c r="U36" s="175">
        <f t="shared" ref="U36:Y36" si="39">AVERAGE(U30:U35)</f>
        <v>0.82499999999999984</v>
      </c>
      <c r="V36" s="175">
        <f t="shared" si="39"/>
        <v>0.95166666666666677</v>
      </c>
      <c r="W36" s="175">
        <f t="shared" si="39"/>
        <v>1.0383333333333333</v>
      </c>
      <c r="X36" s="175">
        <f t="shared" si="39"/>
        <v>1.4233333333333336</v>
      </c>
      <c r="Y36" s="175">
        <f t="shared" si="39"/>
        <v>3.9016666666666668</v>
      </c>
      <c r="Z36" s="176"/>
      <c r="AA36" s="164"/>
      <c r="AB36" s="163"/>
      <c r="AC36" s="163"/>
      <c r="AD36" s="163"/>
      <c r="AE36" s="163"/>
      <c r="AF36" s="163"/>
    </row>
    <row r="37" spans="17:48" ht="17.399999999999999" thickBot="1" x14ac:dyDescent="0.3">
      <c r="Q37" s="65">
        <v>4</v>
      </c>
      <c r="R37" s="57" t="s">
        <v>14</v>
      </c>
      <c r="S37" s="52">
        <v>1</v>
      </c>
      <c r="T37" s="58">
        <v>0.55000000000000004</v>
      </c>
      <c r="U37" s="58">
        <v>1.03</v>
      </c>
      <c r="V37" s="58">
        <v>1.37</v>
      </c>
      <c r="W37" s="58">
        <v>0.87</v>
      </c>
      <c r="X37" s="58">
        <v>2.04</v>
      </c>
      <c r="Y37" s="58">
        <v>5.2</v>
      </c>
      <c r="Z37" s="163"/>
      <c r="AA37" s="164">
        <f>T37/2.54</f>
        <v>0.21653543307086615</v>
      </c>
      <c r="AB37" s="164">
        <f>U37/2.54</f>
        <v>0.40551181102362205</v>
      </c>
      <c r="AC37" s="164">
        <f>V37/2.54</f>
        <v>0.53937007874015752</v>
      </c>
      <c r="AD37" s="164">
        <f>W37/2.54</f>
        <v>0.34251968503937008</v>
      </c>
      <c r="AE37" s="164">
        <f>X37/2.54</f>
        <v>0.80314960629921262</v>
      </c>
      <c r="AF37" s="164">
        <f>Y37/2.54</f>
        <v>2.0472440944881889</v>
      </c>
    </row>
    <row r="38" spans="17:48" ht="17.399999999999999" thickBot="1" x14ac:dyDescent="0.3">
      <c r="Q38" s="62"/>
      <c r="R38" s="62"/>
      <c r="S38" s="52">
        <v>2</v>
      </c>
      <c r="T38" s="58">
        <v>0.66</v>
      </c>
      <c r="U38" s="58">
        <v>1.34</v>
      </c>
      <c r="V38" s="58">
        <v>2.37</v>
      </c>
      <c r="W38" s="58">
        <v>1.3</v>
      </c>
      <c r="X38" s="58">
        <v>3.66</v>
      </c>
      <c r="Y38" s="58">
        <v>5.67</v>
      </c>
      <c r="Z38" s="163"/>
      <c r="AA38" s="164">
        <f>T38/2.54</f>
        <v>0.25984251968503935</v>
      </c>
      <c r="AB38" s="164">
        <f>U38/2.54</f>
        <v>0.5275590551181103</v>
      </c>
      <c r="AC38" s="164">
        <f>V38/2.54</f>
        <v>0.93307086614173229</v>
      </c>
      <c r="AD38" s="164">
        <f>W38/2.54</f>
        <v>0.51181102362204722</v>
      </c>
      <c r="AE38" s="164">
        <f>X38/2.54</f>
        <v>1.4409448818897639</v>
      </c>
      <c r="AF38" s="164">
        <f>Y38/2.54</f>
        <v>2.2322834645669292</v>
      </c>
    </row>
    <row r="39" spans="17:48" ht="17.399999999999999" thickBot="1" x14ac:dyDescent="0.3">
      <c r="Q39" s="62"/>
      <c r="R39" s="64"/>
      <c r="S39" s="52">
        <v>3</v>
      </c>
      <c r="T39" s="58">
        <v>0.52</v>
      </c>
      <c r="U39" s="58">
        <v>1.04</v>
      </c>
      <c r="V39" s="58">
        <v>2.0099999999999998</v>
      </c>
      <c r="W39" s="58">
        <v>0.91</v>
      </c>
      <c r="X39" s="58">
        <v>3.04</v>
      </c>
      <c r="Y39" s="58">
        <v>7.86</v>
      </c>
      <c r="Z39" s="163"/>
      <c r="AA39" s="164">
        <f>T39/2.54</f>
        <v>0.20472440944881889</v>
      </c>
      <c r="AB39" s="164">
        <f>U39/2.54</f>
        <v>0.40944881889763779</v>
      </c>
      <c r="AC39" s="164">
        <f>V39/2.54</f>
        <v>0.79133858267716528</v>
      </c>
      <c r="AD39" s="164">
        <f>W39/2.54</f>
        <v>0.3582677165354331</v>
      </c>
      <c r="AE39" s="164">
        <f>X39/2.54</f>
        <v>1.1968503937007875</v>
      </c>
      <c r="AF39" s="164">
        <f>Y39/2.54</f>
        <v>3.0944881889763782</v>
      </c>
    </row>
    <row r="40" spans="17:48" ht="17.399999999999999" thickBot="1" x14ac:dyDescent="0.3">
      <c r="Q40" s="62"/>
      <c r="R40" s="57" t="s">
        <v>12</v>
      </c>
      <c r="S40" s="52">
        <v>1</v>
      </c>
      <c r="T40" s="58">
        <v>0.95</v>
      </c>
      <c r="U40" s="58">
        <v>1.99</v>
      </c>
      <c r="V40" s="58">
        <v>2.5499999999999998</v>
      </c>
      <c r="W40" s="58">
        <v>1.63</v>
      </c>
      <c r="X40" s="58">
        <v>3.95</v>
      </c>
      <c r="Y40" s="58">
        <v>6.93</v>
      </c>
      <c r="Z40" s="163"/>
      <c r="AA40" s="164">
        <f>T40/2.54</f>
        <v>0.37401574803149606</v>
      </c>
      <c r="AB40" s="169">
        <f t="shared" ref="AB40:AF40" si="40">AVERAGE(AB37:AB39)</f>
        <v>0.44750656167979003</v>
      </c>
      <c r="AC40" s="169">
        <f t="shared" si="40"/>
        <v>0.75459317585301833</v>
      </c>
      <c r="AD40" s="169">
        <f t="shared" si="40"/>
        <v>0.40419947506561682</v>
      </c>
      <c r="AE40" s="169">
        <f t="shared" si="40"/>
        <v>1.146981627296588</v>
      </c>
      <c r="AF40" s="169">
        <f t="shared" si="40"/>
        <v>2.4580052493438322</v>
      </c>
    </row>
    <row r="41" spans="17:48" ht="17.399999999999999" thickBot="1" x14ac:dyDescent="0.3">
      <c r="Q41" s="62"/>
      <c r="R41" s="62"/>
      <c r="S41" s="52">
        <v>2</v>
      </c>
      <c r="T41" s="58">
        <v>0.64</v>
      </c>
      <c r="U41" s="58">
        <v>1</v>
      </c>
      <c r="V41" s="58">
        <v>1.96</v>
      </c>
      <c r="W41" s="58">
        <v>1.19</v>
      </c>
      <c r="X41" s="58">
        <v>4.53</v>
      </c>
      <c r="Y41" s="58">
        <v>10.47</v>
      </c>
      <c r="Z41" s="163"/>
      <c r="AA41" s="164"/>
      <c r="AB41" s="163"/>
      <c r="AC41" s="163"/>
      <c r="AD41" s="163"/>
      <c r="AE41" s="163"/>
      <c r="AF41" s="163"/>
    </row>
    <row r="42" spans="17:48" ht="17.399999999999999" thickBot="1" x14ac:dyDescent="0.3">
      <c r="Q42" s="64"/>
      <c r="R42" s="64"/>
      <c r="S42" s="52">
        <v>3</v>
      </c>
      <c r="T42" s="58">
        <v>0.56000000000000005</v>
      </c>
      <c r="U42" s="58">
        <v>0.73</v>
      </c>
      <c r="V42" s="58">
        <v>1.23</v>
      </c>
      <c r="W42" s="58">
        <v>0.87</v>
      </c>
      <c r="X42" s="58">
        <v>3.05</v>
      </c>
      <c r="Y42" s="58">
        <v>9.5</v>
      </c>
      <c r="Z42" s="163"/>
      <c r="AA42" s="164"/>
      <c r="AB42" s="163"/>
      <c r="AC42" s="163"/>
      <c r="AD42" s="163"/>
      <c r="AE42" s="163"/>
      <c r="AF42" s="163"/>
    </row>
    <row r="43" spans="17:48" ht="17.399999999999999" thickBot="1" x14ac:dyDescent="0.3">
      <c r="Q43" s="99"/>
      <c r="R43" s="99"/>
      <c r="S43" s="52"/>
      <c r="T43" s="172">
        <f>AVERAGE(T37:T42)</f>
        <v>0.64666666666666661</v>
      </c>
      <c r="U43" s="172">
        <f t="shared" ref="U43:Y43" si="41">AVERAGE(U37:U42)</f>
        <v>1.1883333333333335</v>
      </c>
      <c r="V43" s="172">
        <f t="shared" si="41"/>
        <v>1.9150000000000003</v>
      </c>
      <c r="W43" s="172">
        <f t="shared" si="41"/>
        <v>1.1283333333333334</v>
      </c>
      <c r="X43" s="172">
        <f t="shared" si="41"/>
        <v>3.3783333333333339</v>
      </c>
      <c r="Y43" s="172">
        <f t="shared" si="41"/>
        <v>7.6050000000000004</v>
      </c>
      <c r="Z43" s="169"/>
      <c r="AA43" s="164"/>
      <c r="AB43" s="163"/>
      <c r="AC43" s="163"/>
      <c r="AD43" s="163"/>
      <c r="AE43" s="163"/>
      <c r="AF43" s="163"/>
    </row>
    <row r="44" spans="17:48" ht="17.399999999999999" thickBot="1" x14ac:dyDescent="0.3">
      <c r="Q44" s="57"/>
      <c r="R44" s="57" t="s">
        <v>14</v>
      </c>
      <c r="S44" s="52">
        <v>1</v>
      </c>
      <c r="T44" s="58">
        <v>0.75</v>
      </c>
      <c r="U44" s="58">
        <v>0.35</v>
      </c>
      <c r="V44" s="58">
        <v>1.23</v>
      </c>
      <c r="W44" s="58">
        <v>0.95</v>
      </c>
      <c r="X44" s="58">
        <v>3.81</v>
      </c>
      <c r="Y44" s="58">
        <v>5.86</v>
      </c>
      <c r="Z44" s="163"/>
      <c r="AA44" s="164">
        <f>T44/2.54</f>
        <v>0.29527559055118108</v>
      </c>
      <c r="AB44" s="164">
        <f>U44*2.54</f>
        <v>0.8889999999999999</v>
      </c>
      <c r="AC44" s="164">
        <f>V44*2.54</f>
        <v>3.1242000000000001</v>
      </c>
      <c r="AD44" s="164">
        <f>W44*2.54</f>
        <v>2.4129999999999998</v>
      </c>
      <c r="AE44" s="164">
        <f>X44*2.54</f>
        <v>9.6774000000000004</v>
      </c>
      <c r="AF44" s="164">
        <f>Y44*2.54</f>
        <v>14.884400000000001</v>
      </c>
    </row>
    <row r="45" spans="17:48" ht="17.399999999999999" thickBot="1" x14ac:dyDescent="0.3">
      <c r="Q45" s="62"/>
      <c r="R45" s="62"/>
      <c r="S45" s="52">
        <v>2</v>
      </c>
      <c r="T45" s="58">
        <v>0.53</v>
      </c>
      <c r="U45" s="58">
        <v>0.67</v>
      </c>
      <c r="V45" s="58">
        <v>1.49</v>
      </c>
      <c r="W45" s="58">
        <v>1.1299999999999999</v>
      </c>
      <c r="X45" s="58">
        <v>4.54</v>
      </c>
      <c r="Y45" s="58">
        <v>3.8</v>
      </c>
      <c r="Z45" s="163"/>
      <c r="AA45" s="164">
        <f>T45/2.54</f>
        <v>0.20866141732283466</v>
      </c>
      <c r="AB45" s="164">
        <f>U45*2.54</f>
        <v>1.7018000000000002</v>
      </c>
      <c r="AC45" s="164">
        <f>V45*2.54</f>
        <v>3.7846000000000002</v>
      </c>
      <c r="AD45" s="164">
        <f>W45*2.54</f>
        <v>2.8701999999999996</v>
      </c>
      <c r="AE45" s="164">
        <f>X45*2.54</f>
        <v>11.531600000000001</v>
      </c>
      <c r="AF45" s="164">
        <f>Y45*2.54</f>
        <v>9.6519999999999992</v>
      </c>
    </row>
    <row r="46" spans="17:48" ht="17.399999999999999" thickBot="1" x14ac:dyDescent="0.3">
      <c r="Q46" s="62"/>
      <c r="R46" s="64"/>
      <c r="S46" s="52">
        <v>3</v>
      </c>
      <c r="T46" s="58">
        <v>0.44</v>
      </c>
      <c r="U46" s="58">
        <v>2.08</v>
      </c>
      <c r="V46" s="58">
        <v>2.2599999999999998</v>
      </c>
      <c r="W46" s="58">
        <v>0.39</v>
      </c>
      <c r="X46" s="58">
        <v>2.82</v>
      </c>
      <c r="Y46" s="58">
        <v>2.13</v>
      </c>
      <c r="Z46" s="163"/>
      <c r="AA46" s="164">
        <f>T46/2.54</f>
        <v>0.17322834645669291</v>
      </c>
      <c r="AB46" s="164">
        <f>U46*2.54</f>
        <v>5.2831999999999999</v>
      </c>
      <c r="AC46" s="164">
        <f>V46*2.54</f>
        <v>5.7403999999999993</v>
      </c>
      <c r="AD46" s="164">
        <f>W46*2.54</f>
        <v>0.99060000000000004</v>
      </c>
      <c r="AE46" s="164">
        <f>X46*2.54</f>
        <v>7.1627999999999998</v>
      </c>
      <c r="AF46" s="164">
        <f>Y46*2.54</f>
        <v>5.4101999999999997</v>
      </c>
    </row>
    <row r="47" spans="17:48" ht="16.8" x14ac:dyDescent="0.25">
      <c r="Q47" s="62"/>
      <c r="R47" s="57" t="s">
        <v>12</v>
      </c>
      <c r="S47" s="65">
        <v>1</v>
      </c>
      <c r="T47" s="177">
        <v>0.73</v>
      </c>
      <c r="U47" s="177">
        <v>0.83</v>
      </c>
      <c r="V47" s="177">
        <v>2.27</v>
      </c>
      <c r="W47" s="177">
        <v>1.9</v>
      </c>
      <c r="X47" s="177">
        <v>2.62</v>
      </c>
      <c r="Y47" s="177">
        <v>11.04</v>
      </c>
      <c r="Z47" s="163"/>
      <c r="AA47" s="164">
        <f>T47/2.54</f>
        <v>0.2874015748031496</v>
      </c>
      <c r="AB47" s="169">
        <f t="shared" ref="AB47:AF47" si="42">AVERAGE(AB44:AB46)</f>
        <v>2.6246666666666667</v>
      </c>
      <c r="AC47" s="169">
        <f t="shared" si="42"/>
        <v>4.2164000000000001</v>
      </c>
      <c r="AD47" s="169">
        <f t="shared" si="42"/>
        <v>2.0912666666666664</v>
      </c>
      <c r="AE47" s="169">
        <f t="shared" si="42"/>
        <v>9.4572666666666674</v>
      </c>
      <c r="AF47" s="169">
        <f t="shared" si="42"/>
        <v>9.9822000000000006</v>
      </c>
    </row>
    <row r="48" spans="17:48" ht="9.75" customHeight="1" x14ac:dyDescent="0.25">
      <c r="Q48" s="62"/>
      <c r="R48" s="62"/>
      <c r="S48" s="62"/>
      <c r="T48" s="181"/>
      <c r="U48" s="181"/>
      <c r="V48" s="181"/>
      <c r="W48" s="181"/>
      <c r="X48" s="181"/>
      <c r="Y48" s="181"/>
      <c r="Z48" s="178"/>
      <c r="AA48" s="163"/>
      <c r="AB48" s="163"/>
      <c r="AC48" s="163"/>
      <c r="AD48" s="163"/>
      <c r="AE48" s="163"/>
      <c r="AF48" s="163"/>
    </row>
    <row r="49" spans="17:32" ht="17.399999999999999" hidden="1" customHeight="1" thickBot="1" x14ac:dyDescent="0.3">
      <c r="Q49" s="62"/>
      <c r="R49" s="62"/>
      <c r="S49" s="63"/>
      <c r="T49" s="179"/>
      <c r="U49" s="179"/>
      <c r="V49" s="179"/>
      <c r="W49" s="179"/>
      <c r="X49" s="179"/>
      <c r="Y49" s="179"/>
      <c r="Z49" s="163"/>
      <c r="AA49" s="163"/>
      <c r="AB49" s="163"/>
      <c r="AC49" s="163"/>
      <c r="AD49" s="163"/>
      <c r="AE49" s="163"/>
      <c r="AF49" s="163"/>
    </row>
    <row r="50" spans="17:32" ht="17.399999999999999" thickBot="1" x14ac:dyDescent="0.3">
      <c r="Q50" s="62"/>
      <c r="R50" s="62"/>
      <c r="S50" s="52">
        <v>2</v>
      </c>
      <c r="T50" s="58">
        <v>0.71</v>
      </c>
      <c r="U50" s="58">
        <v>1.56</v>
      </c>
      <c r="V50" s="58">
        <v>1.8</v>
      </c>
      <c r="W50" s="58">
        <v>0.5</v>
      </c>
      <c r="X50" s="58">
        <v>5.67</v>
      </c>
      <c r="Y50" s="58">
        <v>8.81</v>
      </c>
      <c r="Z50" s="163"/>
      <c r="AA50" s="163"/>
      <c r="AB50" s="163"/>
      <c r="AC50" s="163"/>
      <c r="AD50" s="163"/>
      <c r="AE50" s="163"/>
      <c r="AF50" s="163"/>
    </row>
    <row r="51" spans="17:32" ht="18" customHeight="1" thickBot="1" x14ac:dyDescent="0.3">
      <c r="Q51" s="64"/>
      <c r="R51" s="64"/>
      <c r="S51" s="52">
        <v>3</v>
      </c>
      <c r="T51" s="58">
        <v>1</v>
      </c>
      <c r="U51" s="58">
        <v>1.22</v>
      </c>
      <c r="V51" s="58">
        <v>1.66</v>
      </c>
      <c r="W51" s="58">
        <v>1.98</v>
      </c>
      <c r="X51" s="58">
        <v>4.2</v>
      </c>
      <c r="Y51" s="58">
        <v>11.28</v>
      </c>
      <c r="Z51" s="163"/>
      <c r="AA51" s="163"/>
      <c r="AB51" s="163"/>
      <c r="AC51" s="163"/>
      <c r="AD51" s="163"/>
      <c r="AE51" s="163"/>
      <c r="AF51" s="163"/>
    </row>
    <row r="52" spans="17:32" ht="18" customHeight="1" x14ac:dyDescent="0.25">
      <c r="T52" s="180">
        <f>AVERAGE(T44:T51)</f>
        <v>0.69333333333333336</v>
      </c>
      <c r="U52" s="180">
        <f t="shared" ref="U52:Y52" si="43">AVERAGE(U44:U51)</f>
        <v>1.1183333333333334</v>
      </c>
      <c r="V52" s="180">
        <f t="shared" si="43"/>
        <v>1.7850000000000001</v>
      </c>
      <c r="W52" s="180">
        <f t="shared" si="43"/>
        <v>1.1416666666666666</v>
      </c>
      <c r="X52" s="180">
        <f t="shared" si="43"/>
        <v>3.9433333333333334</v>
      </c>
      <c r="Y52" s="180">
        <f t="shared" si="43"/>
        <v>7.1533333333333333</v>
      </c>
      <c r="Z52" s="180"/>
      <c r="AA52" s="180"/>
      <c r="AB52" s="180"/>
      <c r="AC52" s="180"/>
      <c r="AD52" s="180"/>
      <c r="AE52" s="180"/>
    </row>
  </sheetData>
  <mergeCells count="26">
    <mergeCell ref="R37:R39"/>
    <mergeCell ref="R40:R42"/>
    <mergeCell ref="Y47:Y49"/>
    <mergeCell ref="AP15:AT15"/>
    <mergeCell ref="S47:S49"/>
    <mergeCell ref="T47:T49"/>
    <mergeCell ref="U47:U49"/>
    <mergeCell ref="V47:V49"/>
    <mergeCell ref="W47:W49"/>
    <mergeCell ref="X47:X49"/>
    <mergeCell ref="AW15:BA15"/>
    <mergeCell ref="B4:B6"/>
    <mergeCell ref="B8:B10"/>
    <mergeCell ref="Q44:Q51"/>
    <mergeCell ref="R44:R46"/>
    <mergeCell ref="R47:R51"/>
    <mergeCell ref="Q16:Q21"/>
    <mergeCell ref="R16:R18"/>
    <mergeCell ref="R19:R21"/>
    <mergeCell ref="Q23:Q28"/>
    <mergeCell ref="R23:R25"/>
    <mergeCell ref="R26:R28"/>
    <mergeCell ref="Q30:Q35"/>
    <mergeCell ref="R30:R32"/>
    <mergeCell ref="R33:R35"/>
    <mergeCell ref="Q37:Q4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8"/>
  <sheetViews>
    <sheetView zoomScale="40" zoomScaleNormal="40" workbookViewId="0">
      <selection activeCell="D5" sqref="D5"/>
    </sheetView>
  </sheetViews>
  <sheetFormatPr defaultRowHeight="13.8" x14ac:dyDescent="0.25"/>
  <cols>
    <col min="1" max="16384" width="8.796875" style="46"/>
  </cols>
  <sheetData>
    <row r="1" spans="2:25" ht="14.4" thickBot="1" x14ac:dyDescent="0.3"/>
    <row r="2" spans="2:25" ht="17.399999999999999" thickBot="1" x14ac:dyDescent="0.3">
      <c r="B2" s="93" t="s">
        <v>32</v>
      </c>
      <c r="C2" s="47"/>
      <c r="D2" s="47" t="s">
        <v>88</v>
      </c>
      <c r="E2" s="48" t="s">
        <v>2</v>
      </c>
      <c r="F2" s="49" t="s">
        <v>3</v>
      </c>
      <c r="G2" s="49" t="s">
        <v>4</v>
      </c>
      <c r="H2" s="49" t="s">
        <v>5</v>
      </c>
      <c r="I2" s="49" t="s">
        <v>6</v>
      </c>
      <c r="J2" s="49" t="s">
        <v>7</v>
      </c>
    </row>
    <row r="3" spans="2:25" ht="17.399999999999999" thickBot="1" x14ac:dyDescent="0.3">
      <c r="B3" s="50"/>
      <c r="C3" s="51"/>
      <c r="D3" s="52"/>
      <c r="E3" s="53"/>
      <c r="F3" s="54"/>
      <c r="G3" s="55" t="s">
        <v>17</v>
      </c>
      <c r="H3" s="54"/>
      <c r="I3" s="56"/>
      <c r="J3" s="55" t="s">
        <v>18</v>
      </c>
      <c r="L3" s="46" t="str">
        <f>E2</f>
        <v>Pb</v>
      </c>
      <c r="M3" s="46" t="str">
        <f t="shared" ref="M3:P3" si="0">F2</f>
        <v>Cu</v>
      </c>
      <c r="N3" s="46" t="str">
        <f t="shared" si="0"/>
        <v>Ni</v>
      </c>
      <c r="O3" s="46" t="str">
        <f t="shared" si="0"/>
        <v>Cd</v>
      </c>
      <c r="P3" s="46" t="str">
        <f t="shared" si="0"/>
        <v>Zn</v>
      </c>
      <c r="Q3" s="46" t="str">
        <f>J2</f>
        <v>Fe</v>
      </c>
      <c r="T3" s="46" t="str">
        <f>L3</f>
        <v>Pb</v>
      </c>
      <c r="U3" s="46" t="str">
        <f t="shared" ref="U3:X3" si="1">M3</f>
        <v>Cu</v>
      </c>
      <c r="V3" s="46" t="str">
        <f t="shared" si="1"/>
        <v>Ni</v>
      </c>
      <c r="W3" s="46" t="str">
        <f t="shared" si="1"/>
        <v>Cd</v>
      </c>
      <c r="X3" s="46" t="str">
        <f t="shared" si="1"/>
        <v>Zn</v>
      </c>
      <c r="Y3" s="46" t="str">
        <f>Q3</f>
        <v>Fe</v>
      </c>
    </row>
    <row r="4" spans="2:25" ht="17.399999999999999" thickBot="1" x14ac:dyDescent="0.3">
      <c r="B4" s="57">
        <v>1</v>
      </c>
      <c r="C4" s="57"/>
      <c r="D4" s="52">
        <v>1</v>
      </c>
      <c r="E4" s="58">
        <v>1.65</v>
      </c>
      <c r="F4" s="58">
        <v>3.76</v>
      </c>
      <c r="G4" s="58">
        <v>6.93</v>
      </c>
      <c r="H4" s="58">
        <v>2.44</v>
      </c>
      <c r="I4" s="58">
        <v>14.35</v>
      </c>
      <c r="J4" s="58">
        <v>27.79</v>
      </c>
      <c r="L4" s="59">
        <f>E4/2.54</f>
        <v>0.64960629921259838</v>
      </c>
      <c r="M4" s="59">
        <f t="shared" ref="M4:Q4" si="2">F4/2.54</f>
        <v>1.4803149606299211</v>
      </c>
      <c r="N4" s="59">
        <f t="shared" si="2"/>
        <v>2.7283464566929134</v>
      </c>
      <c r="O4" s="59">
        <f t="shared" si="2"/>
        <v>0.96062992125984248</v>
      </c>
      <c r="P4" s="59">
        <f t="shared" si="2"/>
        <v>5.6496062992125982</v>
      </c>
      <c r="Q4" s="59">
        <f t="shared" si="2"/>
        <v>10.940944881889763</v>
      </c>
      <c r="S4" s="60">
        <v>1</v>
      </c>
      <c r="T4" s="61">
        <v>1.85</v>
      </c>
      <c r="U4" s="61">
        <v>2.39</v>
      </c>
      <c r="V4" s="61">
        <v>8.23</v>
      </c>
      <c r="W4" s="61">
        <v>2.21</v>
      </c>
      <c r="X4" s="61">
        <v>10.95</v>
      </c>
      <c r="Y4" s="61">
        <v>8.69</v>
      </c>
    </row>
    <row r="5" spans="2:25" ht="17.399999999999999" thickBot="1" x14ac:dyDescent="0.3">
      <c r="B5" s="62"/>
      <c r="C5" s="62"/>
      <c r="D5" s="52">
        <v>2</v>
      </c>
      <c r="E5" s="58">
        <v>1.27</v>
      </c>
      <c r="F5" s="58">
        <v>3.12</v>
      </c>
      <c r="G5" s="58">
        <v>4.24</v>
      </c>
      <c r="H5" s="58">
        <v>1.37</v>
      </c>
      <c r="I5" s="58">
        <v>8.0299999999999994</v>
      </c>
      <c r="J5" s="58">
        <v>15.57</v>
      </c>
      <c r="L5" s="59">
        <f t="shared" ref="L5:L18" si="3">E5/2.54</f>
        <v>0.5</v>
      </c>
      <c r="M5" s="59">
        <f t="shared" ref="M5:M18" si="4">F5/2.54</f>
        <v>1.2283464566929134</v>
      </c>
      <c r="N5" s="59">
        <f t="shared" ref="N5:N18" si="5">G5/2.54</f>
        <v>1.6692913385826773</v>
      </c>
      <c r="O5" s="59">
        <f t="shared" ref="O5:O18" si="6">H5/2.54</f>
        <v>0.53937007874015752</v>
      </c>
      <c r="P5" s="59">
        <f t="shared" ref="P5:P18" si="7">I5/2.54</f>
        <v>3.1614173228346454</v>
      </c>
      <c r="Q5" s="59">
        <f t="shared" ref="Q5:Q18" si="8">J5/2.54</f>
        <v>6.1299212598425195</v>
      </c>
      <c r="S5" s="60">
        <v>2</v>
      </c>
      <c r="T5" s="61">
        <v>1.17</v>
      </c>
      <c r="U5" s="61">
        <v>1.83</v>
      </c>
      <c r="V5" s="61">
        <v>7.04</v>
      </c>
      <c r="W5" s="61">
        <v>2.84</v>
      </c>
      <c r="X5" s="61">
        <v>8.43</v>
      </c>
      <c r="Y5" s="61">
        <v>16.71</v>
      </c>
    </row>
    <row r="6" spans="2:25" ht="17.399999999999999" thickBot="1" x14ac:dyDescent="0.3">
      <c r="B6" s="63"/>
      <c r="C6" s="64"/>
      <c r="D6" s="52">
        <v>3</v>
      </c>
      <c r="E6" s="58">
        <v>1.83</v>
      </c>
      <c r="F6" s="58">
        <v>4.7</v>
      </c>
      <c r="G6" s="58">
        <v>7.9</v>
      </c>
      <c r="H6" s="58">
        <v>2.69</v>
      </c>
      <c r="I6" s="58">
        <v>16</v>
      </c>
      <c r="J6" s="58">
        <v>29.24</v>
      </c>
      <c r="L6" s="59">
        <f t="shared" si="3"/>
        <v>0.72047244094488194</v>
      </c>
      <c r="M6" s="59">
        <f t="shared" si="4"/>
        <v>1.8503937007874016</v>
      </c>
      <c r="N6" s="59">
        <f t="shared" si="5"/>
        <v>3.1102362204724412</v>
      </c>
      <c r="O6" s="59">
        <f t="shared" si="6"/>
        <v>1.0590551181102361</v>
      </c>
      <c r="P6" s="59">
        <f t="shared" si="7"/>
        <v>6.2992125984251963</v>
      </c>
      <c r="Q6" s="59">
        <f t="shared" si="8"/>
        <v>11.511811023622046</v>
      </c>
      <c r="S6" s="60">
        <v>3</v>
      </c>
      <c r="T6" s="61">
        <v>1.02</v>
      </c>
      <c r="U6" s="61">
        <v>2.44</v>
      </c>
      <c r="V6" s="61">
        <v>4.6500000000000004</v>
      </c>
      <c r="W6" s="61">
        <v>1.4</v>
      </c>
      <c r="X6" s="61">
        <v>13.94</v>
      </c>
      <c r="Y6" s="61">
        <v>15.37</v>
      </c>
    </row>
    <row r="7" spans="2:25" ht="17.399999999999999" thickBot="1" x14ac:dyDescent="0.3">
      <c r="B7" s="65">
        <v>2</v>
      </c>
      <c r="C7" s="57"/>
      <c r="D7" s="52">
        <v>1</v>
      </c>
      <c r="E7" s="58">
        <v>0.43</v>
      </c>
      <c r="F7" s="58">
        <v>2.16</v>
      </c>
      <c r="G7" s="58">
        <v>4.72</v>
      </c>
      <c r="H7" s="58">
        <v>2.82</v>
      </c>
      <c r="I7" s="58">
        <v>6.55</v>
      </c>
      <c r="J7" s="58">
        <v>10.11</v>
      </c>
      <c r="L7" s="59">
        <f t="shared" si="3"/>
        <v>0.16929133858267717</v>
      </c>
      <c r="M7" s="59">
        <f t="shared" si="4"/>
        <v>0.85039370078740162</v>
      </c>
      <c r="N7" s="59">
        <f t="shared" si="5"/>
        <v>1.8582677165354329</v>
      </c>
      <c r="O7" s="59">
        <f t="shared" si="6"/>
        <v>1.110236220472441</v>
      </c>
      <c r="P7" s="59">
        <f t="shared" si="7"/>
        <v>2.5787401574803148</v>
      </c>
      <c r="Q7" s="59">
        <f t="shared" si="8"/>
        <v>3.9803149606299209</v>
      </c>
      <c r="S7" s="60">
        <v>1</v>
      </c>
      <c r="T7" s="61">
        <v>2.21</v>
      </c>
      <c r="U7" s="61">
        <v>3.53</v>
      </c>
      <c r="V7" s="61">
        <v>4.9000000000000004</v>
      </c>
      <c r="W7" s="61">
        <v>1.93</v>
      </c>
      <c r="X7" s="61">
        <v>6.1</v>
      </c>
      <c r="Y7" s="61">
        <v>14.12</v>
      </c>
    </row>
    <row r="8" spans="2:25" ht="17.399999999999999" thickBot="1" x14ac:dyDescent="0.3">
      <c r="B8" s="62"/>
      <c r="C8" s="62"/>
      <c r="D8" s="52">
        <v>2</v>
      </c>
      <c r="E8" s="58">
        <v>0.71</v>
      </c>
      <c r="F8" s="58">
        <v>3.86</v>
      </c>
      <c r="G8" s="58">
        <v>3.78</v>
      </c>
      <c r="H8" s="58">
        <v>6.27</v>
      </c>
      <c r="I8" s="58">
        <v>12.9</v>
      </c>
      <c r="J8" s="58">
        <v>21.82</v>
      </c>
      <c r="L8" s="59">
        <f t="shared" si="3"/>
        <v>0.27952755905511811</v>
      </c>
      <c r="M8" s="59">
        <f t="shared" si="4"/>
        <v>1.5196850393700787</v>
      </c>
      <c r="N8" s="59">
        <f t="shared" si="5"/>
        <v>1.4881889763779526</v>
      </c>
      <c r="O8" s="59">
        <f t="shared" si="6"/>
        <v>2.4685039370078736</v>
      </c>
      <c r="P8" s="59">
        <f t="shared" si="7"/>
        <v>5.0787401574803148</v>
      </c>
      <c r="Q8" s="59">
        <f t="shared" si="8"/>
        <v>8.5905511811023629</v>
      </c>
      <c r="S8" s="60">
        <v>2</v>
      </c>
      <c r="T8" s="61">
        <v>1.83</v>
      </c>
      <c r="U8" s="61">
        <v>1.47</v>
      </c>
      <c r="V8" s="61">
        <v>2.69</v>
      </c>
      <c r="W8" s="61">
        <v>2.74</v>
      </c>
      <c r="X8" s="61">
        <v>2.06</v>
      </c>
      <c r="Y8" s="61">
        <v>9.42</v>
      </c>
    </row>
    <row r="9" spans="2:25" ht="17.399999999999999" thickBot="1" x14ac:dyDescent="0.3">
      <c r="B9" s="64"/>
      <c r="C9" s="64"/>
      <c r="D9" s="52">
        <v>3</v>
      </c>
      <c r="E9" s="58">
        <v>0.46</v>
      </c>
      <c r="F9" s="58">
        <v>2.79</v>
      </c>
      <c r="G9" s="58">
        <v>6.76</v>
      </c>
      <c r="H9" s="58">
        <v>4.3899999999999997</v>
      </c>
      <c r="I9" s="58">
        <v>9.27</v>
      </c>
      <c r="J9" s="58">
        <v>15.24</v>
      </c>
      <c r="L9" s="59">
        <f t="shared" si="3"/>
        <v>0.18110236220472442</v>
      </c>
      <c r="M9" s="59">
        <f t="shared" si="4"/>
        <v>1.0984251968503937</v>
      </c>
      <c r="N9" s="59">
        <f t="shared" si="5"/>
        <v>2.6614173228346454</v>
      </c>
      <c r="O9" s="59">
        <f t="shared" si="6"/>
        <v>1.7283464566929132</v>
      </c>
      <c r="P9" s="59">
        <f t="shared" si="7"/>
        <v>3.6496062992125982</v>
      </c>
      <c r="Q9" s="59">
        <f t="shared" si="8"/>
        <v>6</v>
      </c>
      <c r="S9" s="60">
        <v>3</v>
      </c>
      <c r="T9" s="61">
        <v>0.53</v>
      </c>
      <c r="U9" s="61">
        <v>0.3</v>
      </c>
      <c r="V9" s="61">
        <v>6.07</v>
      </c>
      <c r="W9" s="61">
        <v>4.9800000000000004</v>
      </c>
      <c r="X9" s="61">
        <v>3.12</v>
      </c>
      <c r="Y9" s="61">
        <v>14.88</v>
      </c>
    </row>
    <row r="10" spans="2:25" ht="17.399999999999999" thickBot="1" x14ac:dyDescent="0.3">
      <c r="B10" s="57">
        <v>3</v>
      </c>
      <c r="C10" s="57"/>
      <c r="D10" s="52">
        <v>1</v>
      </c>
      <c r="E10" s="58">
        <v>1.3</v>
      </c>
      <c r="F10" s="58">
        <v>1.52</v>
      </c>
      <c r="G10" s="58">
        <v>1.75</v>
      </c>
      <c r="H10" s="58">
        <v>1.98</v>
      </c>
      <c r="I10" s="58">
        <v>2.77</v>
      </c>
      <c r="J10" s="58">
        <v>3.05</v>
      </c>
      <c r="L10" s="59">
        <f t="shared" si="3"/>
        <v>0.51181102362204722</v>
      </c>
      <c r="M10" s="59">
        <f t="shared" si="4"/>
        <v>0.59842519685039375</v>
      </c>
      <c r="N10" s="59">
        <f t="shared" si="5"/>
        <v>0.6889763779527559</v>
      </c>
      <c r="O10" s="59">
        <f t="shared" si="6"/>
        <v>0.77952755905511806</v>
      </c>
      <c r="P10" s="59">
        <f t="shared" si="7"/>
        <v>1.0905511811023623</v>
      </c>
      <c r="Q10" s="59">
        <f t="shared" si="8"/>
        <v>1.200787401574803</v>
      </c>
    </row>
    <row r="11" spans="2:25" ht="17.399999999999999" thickBot="1" x14ac:dyDescent="0.3">
      <c r="B11" s="62"/>
      <c r="C11" s="62"/>
      <c r="D11" s="52">
        <v>2</v>
      </c>
      <c r="E11" s="58">
        <v>1.57</v>
      </c>
      <c r="F11" s="58">
        <v>1.8</v>
      </c>
      <c r="G11" s="58">
        <v>2.13</v>
      </c>
      <c r="H11" s="58">
        <v>2.41</v>
      </c>
      <c r="I11" s="58">
        <v>3.25</v>
      </c>
      <c r="J11" s="58">
        <v>10.34</v>
      </c>
      <c r="L11" s="59">
        <f t="shared" si="3"/>
        <v>0.61811023622047245</v>
      </c>
      <c r="M11" s="59">
        <f t="shared" si="4"/>
        <v>0.70866141732283461</v>
      </c>
      <c r="N11" s="59">
        <f t="shared" si="5"/>
        <v>0.83858267716535428</v>
      </c>
      <c r="O11" s="59">
        <f t="shared" si="6"/>
        <v>0.94881889763779537</v>
      </c>
      <c r="P11" s="59">
        <f t="shared" si="7"/>
        <v>1.2795275590551181</v>
      </c>
      <c r="Q11" s="59">
        <f t="shared" si="8"/>
        <v>4.0708661417322833</v>
      </c>
      <c r="T11" s="46" t="str">
        <f>T3</f>
        <v>Pb</v>
      </c>
      <c r="U11" s="46" t="str">
        <f t="shared" ref="U11:Y11" si="9">U3</f>
        <v>Cu</v>
      </c>
      <c r="V11" s="46" t="str">
        <f t="shared" si="9"/>
        <v>Ni</v>
      </c>
      <c r="W11" s="46" t="str">
        <f t="shared" si="9"/>
        <v>Cd</v>
      </c>
      <c r="X11" s="46" t="str">
        <f t="shared" si="9"/>
        <v>Zn</v>
      </c>
      <c r="Y11" s="46" t="str">
        <f t="shared" si="9"/>
        <v>Fe</v>
      </c>
    </row>
    <row r="12" spans="2:25" ht="17.399999999999999" thickBot="1" x14ac:dyDescent="0.3">
      <c r="B12" s="63"/>
      <c r="C12" s="64"/>
      <c r="D12" s="52">
        <v>3</v>
      </c>
      <c r="E12" s="58">
        <v>1.4</v>
      </c>
      <c r="F12" s="58">
        <v>1.65</v>
      </c>
      <c r="G12" s="58">
        <v>2.67</v>
      </c>
      <c r="H12" s="58">
        <v>2.13</v>
      </c>
      <c r="I12" s="58">
        <v>2.87</v>
      </c>
      <c r="J12" s="58">
        <v>14.3</v>
      </c>
      <c r="L12" s="59">
        <f t="shared" si="3"/>
        <v>0.55118110236220463</v>
      </c>
      <c r="M12" s="59">
        <f t="shared" si="4"/>
        <v>0.64960629921259838</v>
      </c>
      <c r="N12" s="59">
        <f t="shared" si="5"/>
        <v>1.0511811023622046</v>
      </c>
      <c r="O12" s="59">
        <f t="shared" si="6"/>
        <v>0.83858267716535428</v>
      </c>
      <c r="P12" s="59">
        <f t="shared" si="7"/>
        <v>1.1299212598425197</v>
      </c>
      <c r="Q12" s="59">
        <f t="shared" si="8"/>
        <v>5.6299212598425195</v>
      </c>
      <c r="S12" s="66">
        <f>S4</f>
        <v>1</v>
      </c>
      <c r="T12" s="67">
        <f>T4/2.54</f>
        <v>0.72834645669291342</v>
      </c>
      <c r="U12" s="67">
        <f t="shared" ref="U12:Y12" si="10">U4/2.54</f>
        <v>0.94094488188976377</v>
      </c>
      <c r="V12" s="67">
        <f t="shared" si="10"/>
        <v>3.2401574803149606</v>
      </c>
      <c r="W12" s="67">
        <f t="shared" si="10"/>
        <v>0.87007874015748032</v>
      </c>
      <c r="X12" s="67">
        <f t="shared" si="10"/>
        <v>4.3110236220472435</v>
      </c>
      <c r="Y12" s="67">
        <f t="shared" si="10"/>
        <v>3.4212598425196847</v>
      </c>
    </row>
    <row r="13" spans="2:25" ht="17.399999999999999" thickBot="1" x14ac:dyDescent="0.3">
      <c r="B13" s="65">
        <v>4</v>
      </c>
      <c r="C13" s="57"/>
      <c r="D13" s="52">
        <v>1</v>
      </c>
      <c r="E13" s="58">
        <v>1.4</v>
      </c>
      <c r="F13" s="58">
        <v>2.62</v>
      </c>
      <c r="G13" s="58">
        <v>3.48</v>
      </c>
      <c r="H13" s="58">
        <v>2.21</v>
      </c>
      <c r="I13" s="58">
        <v>5.18</v>
      </c>
      <c r="J13" s="58">
        <v>13.21</v>
      </c>
      <c r="L13" s="59">
        <f t="shared" si="3"/>
        <v>0.55118110236220463</v>
      </c>
      <c r="M13" s="59">
        <f t="shared" si="4"/>
        <v>1.0314960629921259</v>
      </c>
      <c r="N13" s="59">
        <f t="shared" si="5"/>
        <v>1.3700787401574803</v>
      </c>
      <c r="O13" s="59">
        <f t="shared" si="6"/>
        <v>0.87007874015748032</v>
      </c>
      <c r="P13" s="59">
        <f t="shared" si="7"/>
        <v>2.0393700787401574</v>
      </c>
      <c r="Q13" s="59">
        <f t="shared" si="8"/>
        <v>5.2007874015748037</v>
      </c>
      <c r="S13" s="66">
        <f t="shared" ref="S13:S17" si="11">S5</f>
        <v>2</v>
      </c>
      <c r="T13" s="67">
        <f t="shared" ref="T13:Y17" si="12">T5/2.54</f>
        <v>0.46062992125984248</v>
      </c>
      <c r="U13" s="67">
        <f t="shared" si="12"/>
        <v>0.72047244094488194</v>
      </c>
      <c r="V13" s="67">
        <f t="shared" si="12"/>
        <v>2.7716535433070866</v>
      </c>
      <c r="W13" s="67">
        <f t="shared" si="12"/>
        <v>1.1181102362204725</v>
      </c>
      <c r="X13" s="67">
        <f t="shared" si="12"/>
        <v>3.3188976377952755</v>
      </c>
      <c r="Y13" s="67">
        <f t="shared" si="12"/>
        <v>6.5787401574803148</v>
      </c>
    </row>
    <row r="14" spans="2:25" ht="17.399999999999999" thickBot="1" x14ac:dyDescent="0.3">
      <c r="B14" s="62"/>
      <c r="C14" s="62"/>
      <c r="D14" s="52">
        <v>2</v>
      </c>
      <c r="E14" s="58">
        <v>1.68</v>
      </c>
      <c r="F14" s="58">
        <v>3.4</v>
      </c>
      <c r="G14" s="58">
        <v>6.02</v>
      </c>
      <c r="H14" s="58">
        <v>3.3</v>
      </c>
      <c r="I14" s="58">
        <v>9.3000000000000007</v>
      </c>
      <c r="J14" s="58">
        <v>14.4</v>
      </c>
      <c r="L14" s="59">
        <f t="shared" si="3"/>
        <v>0.6614173228346456</v>
      </c>
      <c r="M14" s="59">
        <f t="shared" si="4"/>
        <v>1.3385826771653542</v>
      </c>
      <c r="N14" s="59">
        <f t="shared" si="5"/>
        <v>2.3700787401574801</v>
      </c>
      <c r="O14" s="59">
        <f t="shared" si="6"/>
        <v>1.2992125984251968</v>
      </c>
      <c r="P14" s="59">
        <f t="shared" si="7"/>
        <v>3.6614173228346458</v>
      </c>
      <c r="Q14" s="59">
        <f t="shared" si="8"/>
        <v>5.6692913385826769</v>
      </c>
      <c r="S14" s="66">
        <f t="shared" si="11"/>
        <v>3</v>
      </c>
      <c r="T14" s="67">
        <f t="shared" si="12"/>
        <v>0.40157480314960631</v>
      </c>
      <c r="U14" s="67">
        <f t="shared" si="12"/>
        <v>0.96062992125984248</v>
      </c>
      <c r="V14" s="67">
        <f t="shared" si="12"/>
        <v>1.8307086614173229</v>
      </c>
      <c r="W14" s="67">
        <f t="shared" si="12"/>
        <v>0.55118110236220463</v>
      </c>
      <c r="X14" s="67">
        <f t="shared" si="12"/>
        <v>5.4881889763779528</v>
      </c>
      <c r="Y14" s="67">
        <f t="shared" si="12"/>
        <v>6.0511811023622046</v>
      </c>
    </row>
    <row r="15" spans="2:25" ht="17.399999999999999" thickBot="1" x14ac:dyDescent="0.3">
      <c r="B15" s="64"/>
      <c r="C15" s="64"/>
      <c r="D15" s="52">
        <v>3</v>
      </c>
      <c r="E15" s="58">
        <v>1.32</v>
      </c>
      <c r="F15" s="58">
        <v>2.64</v>
      </c>
      <c r="G15" s="58">
        <v>5.1100000000000003</v>
      </c>
      <c r="H15" s="58">
        <v>2.31</v>
      </c>
      <c r="I15" s="58">
        <v>7.72</v>
      </c>
      <c r="J15" s="58">
        <v>19.96</v>
      </c>
      <c r="L15" s="59">
        <f t="shared" si="3"/>
        <v>0.51968503937007871</v>
      </c>
      <c r="M15" s="59">
        <f t="shared" si="4"/>
        <v>1.0393700787401574</v>
      </c>
      <c r="N15" s="59">
        <f t="shared" si="5"/>
        <v>2.0118110236220472</v>
      </c>
      <c r="O15" s="59">
        <f t="shared" si="6"/>
        <v>0.90944881889763785</v>
      </c>
      <c r="P15" s="59">
        <f t="shared" si="7"/>
        <v>3.0393700787401574</v>
      </c>
      <c r="Q15" s="59">
        <f t="shared" si="8"/>
        <v>7.8582677165354333</v>
      </c>
      <c r="S15" s="66">
        <f t="shared" si="11"/>
        <v>1</v>
      </c>
      <c r="T15" s="67">
        <f t="shared" si="12"/>
        <v>0.87007874015748032</v>
      </c>
      <c r="U15" s="67">
        <f t="shared" si="12"/>
        <v>1.389763779527559</v>
      </c>
      <c r="V15" s="67">
        <f t="shared" si="12"/>
        <v>1.9291338582677167</v>
      </c>
      <c r="W15" s="67">
        <f t="shared" si="12"/>
        <v>0.75984251968503935</v>
      </c>
      <c r="X15" s="67">
        <f t="shared" si="12"/>
        <v>2.401574803149606</v>
      </c>
      <c r="Y15" s="67">
        <f t="shared" si="12"/>
        <v>5.5590551181102361</v>
      </c>
    </row>
    <row r="16" spans="2:25" ht="17.399999999999999" thickBot="1" x14ac:dyDescent="0.3">
      <c r="B16" s="57">
        <v>5</v>
      </c>
      <c r="C16" s="57"/>
      <c r="D16" s="52">
        <v>1</v>
      </c>
      <c r="E16" s="58">
        <v>1.91</v>
      </c>
      <c r="F16" s="58">
        <v>0.89</v>
      </c>
      <c r="G16" s="58">
        <v>3.12</v>
      </c>
      <c r="H16" s="58">
        <v>2.41</v>
      </c>
      <c r="I16" s="58">
        <v>9.68</v>
      </c>
      <c r="J16" s="58">
        <v>14.88</v>
      </c>
      <c r="L16" s="59">
        <f t="shared" si="3"/>
        <v>0.75196850393700787</v>
      </c>
      <c r="M16" s="59">
        <f t="shared" si="4"/>
        <v>0.35039370078740156</v>
      </c>
      <c r="N16" s="59">
        <f t="shared" si="5"/>
        <v>1.2283464566929134</v>
      </c>
      <c r="O16" s="59">
        <f t="shared" si="6"/>
        <v>0.94881889763779537</v>
      </c>
      <c r="P16" s="59">
        <f t="shared" si="7"/>
        <v>3.811023622047244</v>
      </c>
      <c r="Q16" s="59">
        <f t="shared" si="8"/>
        <v>5.8582677165354333</v>
      </c>
      <c r="S16" s="66">
        <f>S8</f>
        <v>2</v>
      </c>
      <c r="T16" s="67">
        <f t="shared" si="12"/>
        <v>0.72047244094488194</v>
      </c>
      <c r="U16" s="67">
        <f t="shared" si="12"/>
        <v>0.57874015748031493</v>
      </c>
      <c r="V16" s="67">
        <f t="shared" si="12"/>
        <v>1.0590551181102361</v>
      </c>
      <c r="W16" s="67">
        <f t="shared" si="12"/>
        <v>1.078740157480315</v>
      </c>
      <c r="X16" s="67">
        <f t="shared" si="12"/>
        <v>0.8110236220472441</v>
      </c>
      <c r="Y16" s="67">
        <f t="shared" si="12"/>
        <v>3.7086614173228347</v>
      </c>
    </row>
    <row r="17" spans="2:25" ht="17.399999999999999" thickBot="1" x14ac:dyDescent="0.3">
      <c r="B17" s="62"/>
      <c r="C17" s="62"/>
      <c r="D17" s="52">
        <v>2</v>
      </c>
      <c r="E17" s="58">
        <v>1.35</v>
      </c>
      <c r="F17" s="58">
        <v>1.7</v>
      </c>
      <c r="G17" s="58">
        <v>3.78</v>
      </c>
      <c r="H17" s="58">
        <v>2.87</v>
      </c>
      <c r="I17" s="58">
        <v>11.53</v>
      </c>
      <c r="J17" s="58">
        <v>9.65</v>
      </c>
      <c r="L17" s="59">
        <f t="shared" si="3"/>
        <v>0.53149606299212604</v>
      </c>
      <c r="M17" s="59">
        <f t="shared" si="4"/>
        <v>0.66929133858267709</v>
      </c>
      <c r="N17" s="59">
        <f t="shared" si="5"/>
        <v>1.4881889763779526</v>
      </c>
      <c r="O17" s="59">
        <f t="shared" si="6"/>
        <v>1.1299212598425197</v>
      </c>
      <c r="P17" s="59">
        <f t="shared" si="7"/>
        <v>4.5393700787401574</v>
      </c>
      <c r="Q17" s="59">
        <f t="shared" si="8"/>
        <v>3.7992125984251968</v>
      </c>
      <c r="S17" s="66">
        <f t="shared" si="11"/>
        <v>3</v>
      </c>
      <c r="T17" s="67">
        <f t="shared" si="12"/>
        <v>0.20866141732283466</v>
      </c>
      <c r="U17" s="67">
        <f t="shared" si="12"/>
        <v>0.11811023622047244</v>
      </c>
      <c r="V17" s="67">
        <f t="shared" si="12"/>
        <v>2.3897637795275593</v>
      </c>
      <c r="W17" s="67">
        <f t="shared" si="12"/>
        <v>1.9606299212598426</v>
      </c>
      <c r="X17" s="67">
        <f t="shared" si="12"/>
        <v>1.2283464566929134</v>
      </c>
      <c r="Y17" s="67">
        <f t="shared" si="12"/>
        <v>5.8582677165354333</v>
      </c>
    </row>
    <row r="18" spans="2:25" ht="17.399999999999999" thickBot="1" x14ac:dyDescent="0.3">
      <c r="B18" s="64"/>
      <c r="C18" s="64"/>
      <c r="D18" s="52">
        <v>3</v>
      </c>
      <c r="E18" s="58">
        <v>1.1200000000000001</v>
      </c>
      <c r="F18" s="58">
        <v>5.28</v>
      </c>
      <c r="G18" s="58">
        <v>5.74</v>
      </c>
      <c r="H18" s="58">
        <v>0.99</v>
      </c>
      <c r="I18" s="58">
        <v>7.16</v>
      </c>
      <c r="J18" s="58">
        <v>5.41</v>
      </c>
      <c r="L18" s="59">
        <f t="shared" si="3"/>
        <v>0.44094488188976383</v>
      </c>
      <c r="M18" s="59">
        <f t="shared" si="4"/>
        <v>2.0787401574803148</v>
      </c>
      <c r="N18" s="59">
        <f t="shared" si="5"/>
        <v>2.2598425196850394</v>
      </c>
      <c r="O18" s="59">
        <f t="shared" si="6"/>
        <v>0.38976377952755903</v>
      </c>
      <c r="P18" s="59">
        <f t="shared" si="7"/>
        <v>2.8188976377952755</v>
      </c>
      <c r="Q18" s="59">
        <f t="shared" si="8"/>
        <v>2.1299212598425199</v>
      </c>
    </row>
  </sheetData>
  <mergeCells count="10">
    <mergeCell ref="B13:B15"/>
    <mergeCell ref="C13:C15"/>
    <mergeCell ref="B16:B18"/>
    <mergeCell ref="C16:C18"/>
    <mergeCell ref="B4:B6"/>
    <mergeCell ref="C4:C6"/>
    <mergeCell ref="B7:B9"/>
    <mergeCell ref="C7:C9"/>
    <mergeCell ref="B10:B12"/>
    <mergeCell ref="C10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topLeftCell="A4" zoomScale="55" zoomScaleNormal="55" workbookViewId="0">
      <selection activeCell="L5" sqref="L5"/>
    </sheetView>
  </sheetViews>
  <sheetFormatPr defaultRowHeight="13.8" x14ac:dyDescent="0.25"/>
  <cols>
    <col min="1" max="16384" width="8.796875" style="46"/>
  </cols>
  <sheetData>
    <row r="1" spans="1:31" ht="14.4" thickBot="1" x14ac:dyDescent="0.3"/>
    <row r="2" spans="1:31" ht="16.2" thickBot="1" x14ac:dyDescent="0.3">
      <c r="A2" s="68"/>
      <c r="B2" s="69"/>
      <c r="C2" s="69"/>
      <c r="D2" s="69"/>
      <c r="E2" s="69"/>
      <c r="F2" s="69"/>
      <c r="G2" s="69"/>
      <c r="H2" s="70"/>
      <c r="X2" s="71" t="s">
        <v>40</v>
      </c>
      <c r="Y2" s="71"/>
      <c r="Z2" s="71"/>
      <c r="AA2" s="71"/>
      <c r="AB2" s="71"/>
      <c r="AC2" s="71"/>
      <c r="AD2" s="46" t="s">
        <v>41</v>
      </c>
    </row>
    <row r="3" spans="1:31" ht="31.8" thickBot="1" x14ac:dyDescent="0.3">
      <c r="A3" s="93" t="s">
        <v>32</v>
      </c>
      <c r="B3" s="47" t="s">
        <v>90</v>
      </c>
      <c r="C3" s="48" t="s">
        <v>2</v>
      </c>
      <c r="D3" s="48" t="s">
        <v>3</v>
      </c>
      <c r="E3" s="48" t="s">
        <v>4</v>
      </c>
      <c r="F3" s="48" t="s">
        <v>5</v>
      </c>
      <c r="G3" s="73" t="s">
        <v>6</v>
      </c>
      <c r="H3" s="74" t="s">
        <v>7</v>
      </c>
      <c r="X3" s="75"/>
      <c r="Y3" s="48" t="s">
        <v>2</v>
      </c>
      <c r="Z3" s="49" t="s">
        <v>3</v>
      </c>
      <c r="AA3" s="49" t="s">
        <v>4</v>
      </c>
      <c r="AB3" s="49" t="s">
        <v>5</v>
      </c>
      <c r="AC3" s="49" t="s">
        <v>6</v>
      </c>
      <c r="AD3" s="76" t="s">
        <v>42</v>
      </c>
      <c r="AE3" s="77" t="s">
        <v>43</v>
      </c>
    </row>
    <row r="4" spans="1:31" ht="17.399999999999999" thickBot="1" x14ac:dyDescent="0.3">
      <c r="A4" s="78"/>
      <c r="B4" s="79"/>
      <c r="C4" s="53"/>
      <c r="D4" s="80" t="s">
        <v>17</v>
      </c>
      <c r="E4" s="81" t="s">
        <v>9</v>
      </c>
      <c r="F4" s="80"/>
      <c r="G4" s="82"/>
      <c r="H4" s="83" t="s">
        <v>18</v>
      </c>
      <c r="X4" s="80" t="s">
        <v>27</v>
      </c>
      <c r="Y4" s="84">
        <f t="shared" ref="Y4:AA8" si="0">T25*5</f>
        <v>5.4385964912280702</v>
      </c>
      <c r="Z4" s="84">
        <f t="shared" si="0"/>
        <v>9.6202531645569618</v>
      </c>
      <c r="AA4" s="84">
        <f t="shared" si="0"/>
        <v>5.6818181818181817</v>
      </c>
      <c r="AB4" s="84">
        <f>W25*30</f>
        <v>24.056603773584904</v>
      </c>
      <c r="AC4" s="84">
        <f>X25*1</f>
        <v>1.7201365187713309</v>
      </c>
      <c r="AD4" s="46">
        <v>40</v>
      </c>
      <c r="AE4" s="46">
        <v>80</v>
      </c>
    </row>
    <row r="5" spans="1:31" ht="16.2" thickBot="1" x14ac:dyDescent="0.3">
      <c r="A5" s="85">
        <v>1</v>
      </c>
      <c r="B5" s="60">
        <v>1</v>
      </c>
      <c r="C5" s="61">
        <v>0.73</v>
      </c>
      <c r="D5" s="61">
        <v>0.94</v>
      </c>
      <c r="E5" s="61">
        <v>3.24</v>
      </c>
      <c r="F5" s="61">
        <v>0.87</v>
      </c>
      <c r="G5" s="61">
        <v>4.3099999999999996</v>
      </c>
      <c r="H5" s="86">
        <v>3.42</v>
      </c>
      <c r="X5" s="80" t="s">
        <v>28</v>
      </c>
      <c r="Y5" s="84">
        <f t="shared" si="0"/>
        <v>1.8421052631578949</v>
      </c>
      <c r="Z5" s="84">
        <f t="shared" si="0"/>
        <v>7.3417721518987333</v>
      </c>
      <c r="AA5" s="84">
        <f t="shared" si="0"/>
        <v>4.545454545454545</v>
      </c>
      <c r="AB5" s="84">
        <f>W26*30</f>
        <v>50.094339622641506</v>
      </c>
      <c r="AC5" s="84">
        <f>X26*1</f>
        <v>1.2866894197952219</v>
      </c>
      <c r="AD5" s="46">
        <v>40</v>
      </c>
      <c r="AE5" s="46">
        <v>80</v>
      </c>
    </row>
    <row r="6" spans="1:31" ht="16.2" thickBot="1" x14ac:dyDescent="0.3">
      <c r="A6" s="87"/>
      <c r="B6" s="60">
        <v>2</v>
      </c>
      <c r="C6" s="61">
        <v>0.46</v>
      </c>
      <c r="D6" s="61">
        <v>0.72</v>
      </c>
      <c r="E6" s="61">
        <v>2.77</v>
      </c>
      <c r="F6" s="61">
        <v>1.1200000000000001</v>
      </c>
      <c r="G6" s="61">
        <v>3.32</v>
      </c>
      <c r="H6" s="86">
        <v>6.58</v>
      </c>
      <c r="X6" s="80" t="s">
        <v>29</v>
      </c>
      <c r="Y6" s="84">
        <f t="shared" si="0"/>
        <v>4.912280701754387</v>
      </c>
      <c r="Z6" s="84">
        <f t="shared" si="0"/>
        <v>4.1139240506329111</v>
      </c>
      <c r="AA6" s="84">
        <f t="shared" si="0"/>
        <v>1.9545454545454544</v>
      </c>
      <c r="AB6" s="84">
        <f>W27*30</f>
        <v>24.339622641509433</v>
      </c>
      <c r="AC6" s="84">
        <f>X27*1</f>
        <v>0.39931740614334466</v>
      </c>
      <c r="AD6" s="46">
        <v>40</v>
      </c>
      <c r="AE6" s="46">
        <v>80</v>
      </c>
    </row>
    <row r="7" spans="1:31" ht="16.2" thickBot="1" x14ac:dyDescent="0.3">
      <c r="A7" s="88"/>
      <c r="B7" s="60">
        <v>3</v>
      </c>
      <c r="C7" s="61">
        <v>0.4</v>
      </c>
      <c r="D7" s="61">
        <v>0.96</v>
      </c>
      <c r="E7" s="61">
        <v>1.83</v>
      </c>
      <c r="F7" s="61">
        <v>0.55000000000000004</v>
      </c>
      <c r="G7" s="61">
        <v>5.49</v>
      </c>
      <c r="H7" s="86">
        <v>6.05</v>
      </c>
      <c r="X7" s="80" t="s">
        <v>30</v>
      </c>
      <c r="Y7" s="84">
        <f t="shared" si="0"/>
        <v>5.0877192982456148</v>
      </c>
      <c r="Z7" s="84">
        <f t="shared" si="0"/>
        <v>7.2151898734177209</v>
      </c>
      <c r="AA7" s="84">
        <f t="shared" si="0"/>
        <v>4.3636363636363633</v>
      </c>
      <c r="AB7" s="84">
        <f>W28*30</f>
        <v>29.150943396226417</v>
      </c>
      <c r="AC7" s="84">
        <f>X28*1</f>
        <v>0.99317406143344711</v>
      </c>
      <c r="AD7" s="46">
        <v>40</v>
      </c>
      <c r="AE7" s="46">
        <v>80</v>
      </c>
    </row>
    <row r="8" spans="1:31" ht="16.2" thickBot="1" x14ac:dyDescent="0.3">
      <c r="A8" s="89">
        <v>2</v>
      </c>
      <c r="B8" s="60">
        <v>1</v>
      </c>
      <c r="C8" s="61">
        <v>0.87</v>
      </c>
      <c r="D8" s="61">
        <v>1.39</v>
      </c>
      <c r="E8" s="61">
        <v>1.93</v>
      </c>
      <c r="F8" s="61">
        <v>0.76</v>
      </c>
      <c r="G8" s="61">
        <v>2.4</v>
      </c>
      <c r="H8" s="86">
        <v>5.56</v>
      </c>
      <c r="X8" s="80" t="s">
        <v>31</v>
      </c>
      <c r="Y8" s="84">
        <f t="shared" si="0"/>
        <v>5</v>
      </c>
      <c r="Z8" s="84">
        <f t="shared" si="0"/>
        <v>6.518987341772152</v>
      </c>
      <c r="AA8" s="84">
        <f t="shared" si="0"/>
        <v>3.772727272727272</v>
      </c>
      <c r="AB8" s="84">
        <f>W29*30</f>
        <v>23.20754716981132</v>
      </c>
      <c r="AC8" s="84">
        <f>X29*1</f>
        <v>1.2696245733788396</v>
      </c>
      <c r="AD8" s="46">
        <v>40</v>
      </c>
      <c r="AE8" s="46">
        <v>80</v>
      </c>
    </row>
    <row r="9" spans="1:31" ht="17.399999999999999" thickBot="1" x14ac:dyDescent="0.3">
      <c r="A9" s="87"/>
      <c r="B9" s="60">
        <v>2</v>
      </c>
      <c r="C9" s="61">
        <v>0.72</v>
      </c>
      <c r="D9" s="61">
        <v>0.57999999999999996</v>
      </c>
      <c r="E9" s="61">
        <v>1.06</v>
      </c>
      <c r="F9" s="61">
        <v>1.08</v>
      </c>
      <c r="G9" s="61">
        <v>0.81</v>
      </c>
      <c r="H9" s="86">
        <v>3.71</v>
      </c>
      <c r="U9" s="58"/>
    </row>
    <row r="10" spans="1:31" ht="17.399999999999999" thickBot="1" x14ac:dyDescent="0.3">
      <c r="A10" s="88"/>
      <c r="B10" s="60">
        <v>3</v>
      </c>
      <c r="C10" s="61">
        <v>0.21</v>
      </c>
      <c r="D10" s="61">
        <v>0.12</v>
      </c>
      <c r="E10" s="61">
        <v>2.39</v>
      </c>
      <c r="F10" s="61">
        <v>1.96</v>
      </c>
      <c r="G10" s="61">
        <v>1.23</v>
      </c>
      <c r="H10" s="86">
        <v>5.86</v>
      </c>
      <c r="U10" s="58"/>
    </row>
    <row r="11" spans="1:31" ht="17.399999999999999" thickBot="1" x14ac:dyDescent="0.3">
      <c r="A11" s="60"/>
      <c r="B11" s="60"/>
      <c r="C11" s="90">
        <f t="shared" ref="C11:H11" si="1">AVERAGE(C5:C10)</f>
        <v>0.56499999999999995</v>
      </c>
      <c r="D11" s="90">
        <f t="shared" si="1"/>
        <v>0.78500000000000003</v>
      </c>
      <c r="E11" s="90">
        <f t="shared" si="1"/>
        <v>2.2033333333333336</v>
      </c>
      <c r="F11" s="90">
        <f t="shared" si="1"/>
        <v>1.0566666666666666</v>
      </c>
      <c r="G11" s="90">
        <f t="shared" si="1"/>
        <v>2.9266666666666663</v>
      </c>
      <c r="H11" s="90">
        <f t="shared" si="1"/>
        <v>5.1966666666666663</v>
      </c>
      <c r="U11" s="58"/>
    </row>
    <row r="12" spans="1:31" ht="16.2" thickBot="1" x14ac:dyDescent="0.3">
      <c r="A12" s="69" t="s">
        <v>26</v>
      </c>
      <c r="B12" s="69"/>
      <c r="C12" s="69"/>
      <c r="D12" s="69"/>
      <c r="E12" s="69"/>
      <c r="F12" s="69"/>
      <c r="G12" s="69"/>
      <c r="H12" s="69"/>
    </row>
    <row r="13" spans="1:31" ht="17.399999999999999" thickBot="1" x14ac:dyDescent="0.3">
      <c r="A13" s="93" t="s">
        <v>32</v>
      </c>
      <c r="B13" s="47" t="s">
        <v>90</v>
      </c>
      <c r="C13" s="48" t="s">
        <v>2</v>
      </c>
      <c r="D13" s="49" t="s">
        <v>3</v>
      </c>
      <c r="E13" s="49" t="s">
        <v>4</v>
      </c>
      <c r="F13" s="49" t="s">
        <v>5</v>
      </c>
      <c r="G13" s="49" t="s">
        <v>6</v>
      </c>
      <c r="H13" s="49" t="s">
        <v>7</v>
      </c>
    </row>
    <row r="14" spans="1:31" ht="17.399999999999999" thickBot="1" x14ac:dyDescent="0.3">
      <c r="A14" s="50"/>
      <c r="B14" s="52"/>
      <c r="C14" s="53"/>
      <c r="D14" s="54"/>
      <c r="E14" s="55" t="s">
        <v>17</v>
      </c>
      <c r="F14" s="54"/>
      <c r="G14" s="56"/>
      <c r="H14" s="55" t="s">
        <v>18</v>
      </c>
      <c r="J14" s="93" t="s">
        <v>32</v>
      </c>
      <c r="K14" s="48" t="s">
        <v>2</v>
      </c>
      <c r="L14" s="49" t="s">
        <v>3</v>
      </c>
      <c r="M14" s="49" t="s">
        <v>4</v>
      </c>
      <c r="N14" s="49" t="s">
        <v>5</v>
      </c>
      <c r="O14" s="49" t="s">
        <v>6</v>
      </c>
      <c r="P14" s="49" t="s">
        <v>7</v>
      </c>
    </row>
    <row r="15" spans="1:31" ht="17.399999999999999" thickBot="1" x14ac:dyDescent="0.3">
      <c r="A15" s="57">
        <v>1</v>
      </c>
      <c r="B15" s="52">
        <v>1</v>
      </c>
      <c r="C15" s="58">
        <v>0.65</v>
      </c>
      <c r="D15" s="58">
        <v>1.48</v>
      </c>
      <c r="E15" s="58">
        <v>2.73</v>
      </c>
      <c r="F15" s="58">
        <v>0.96</v>
      </c>
      <c r="G15" s="58">
        <v>5.65</v>
      </c>
      <c r="H15" s="58">
        <v>10.94</v>
      </c>
      <c r="J15" s="96">
        <v>1</v>
      </c>
      <c r="K15" s="58">
        <v>0.62</v>
      </c>
      <c r="L15" s="91">
        <v>1.52</v>
      </c>
      <c r="M15" s="92">
        <v>2.5</v>
      </c>
      <c r="N15" s="91">
        <v>0.85</v>
      </c>
      <c r="O15" s="91">
        <v>5.04</v>
      </c>
      <c r="P15" s="91">
        <v>9.5299999999999994</v>
      </c>
    </row>
    <row r="16" spans="1:31" ht="17.399999999999999" thickBot="1" x14ac:dyDescent="0.3">
      <c r="A16" s="62"/>
      <c r="B16" s="52">
        <v>2</v>
      </c>
      <c r="C16" s="58">
        <v>0.5</v>
      </c>
      <c r="D16" s="58">
        <v>1.23</v>
      </c>
      <c r="E16" s="58">
        <v>1.67</v>
      </c>
      <c r="F16" s="58">
        <v>0.54</v>
      </c>
      <c r="G16" s="58">
        <v>3.16</v>
      </c>
      <c r="H16" s="58">
        <v>6.13</v>
      </c>
      <c r="J16" s="96">
        <v>2</v>
      </c>
      <c r="K16" s="58">
        <v>0.21</v>
      </c>
      <c r="L16" s="91">
        <v>1.1599999999999999</v>
      </c>
      <c r="M16" s="92">
        <v>2</v>
      </c>
      <c r="N16" s="91">
        <v>1.77</v>
      </c>
      <c r="O16" s="91">
        <v>3.77</v>
      </c>
      <c r="P16" s="91">
        <v>6.19</v>
      </c>
      <c r="S16" s="93" t="s">
        <v>32</v>
      </c>
      <c r="T16" s="93" t="s">
        <v>2</v>
      </c>
      <c r="U16" s="93" t="s">
        <v>3</v>
      </c>
      <c r="V16" s="93" t="s">
        <v>4</v>
      </c>
      <c r="W16" s="93" t="s">
        <v>5</v>
      </c>
      <c r="X16" s="93" t="s">
        <v>6</v>
      </c>
      <c r="Y16" s="93" t="s">
        <v>7</v>
      </c>
      <c r="Z16" s="94" t="s">
        <v>33</v>
      </c>
      <c r="AA16" s="95" t="s">
        <v>34</v>
      </c>
      <c r="AB16" s="46">
        <f>(Z17*Z18*Z19*Z20*Z21)^(1/5)</f>
        <v>0.97882551778051274</v>
      </c>
    </row>
    <row r="17" spans="1:27" ht="17.399999999999999" thickBot="1" x14ac:dyDescent="0.3">
      <c r="A17" s="63"/>
      <c r="B17" s="52">
        <v>3</v>
      </c>
      <c r="C17" s="58">
        <v>0.72</v>
      </c>
      <c r="D17" s="58">
        <v>1.85</v>
      </c>
      <c r="E17" s="58">
        <v>3.11</v>
      </c>
      <c r="F17" s="58">
        <v>1.06</v>
      </c>
      <c r="G17" s="58">
        <v>6.3</v>
      </c>
      <c r="H17" s="58">
        <v>11.51</v>
      </c>
      <c r="J17" s="96">
        <v>3</v>
      </c>
      <c r="K17" s="58">
        <v>0.56000000000000005</v>
      </c>
      <c r="L17" s="91">
        <v>0.65</v>
      </c>
      <c r="M17" s="92">
        <v>0.86</v>
      </c>
      <c r="N17" s="91">
        <v>0.86</v>
      </c>
      <c r="O17" s="91">
        <v>1.17</v>
      </c>
      <c r="P17" s="91">
        <v>3.63</v>
      </c>
      <c r="S17" s="96">
        <v>1</v>
      </c>
      <c r="T17" s="97">
        <v>1.0877192982456141</v>
      </c>
      <c r="U17" s="97">
        <v>1.9240506329113924</v>
      </c>
      <c r="V17" s="97">
        <v>1.1363636363636362</v>
      </c>
      <c r="W17" s="97">
        <v>0.80188679245283012</v>
      </c>
      <c r="X17" s="97">
        <v>1.7201365187713309</v>
      </c>
      <c r="Y17" s="97">
        <v>1.8326923076923074</v>
      </c>
      <c r="Z17" s="98">
        <f>(T17*U17*V17*W17*X17*Y17)^(1/5)</f>
        <v>1.4315391786385863</v>
      </c>
    </row>
    <row r="18" spans="1:27" ht="17.399999999999999" thickBot="1" x14ac:dyDescent="0.3">
      <c r="A18" s="99"/>
      <c r="B18" s="52"/>
      <c r="C18" s="100">
        <f>AVERAGE(C15:C17)</f>
        <v>0.62333333333333329</v>
      </c>
      <c r="D18" s="100">
        <f t="shared" ref="D18:H18" si="2">AVERAGE(D15:D17)</f>
        <v>1.5200000000000002</v>
      </c>
      <c r="E18" s="100">
        <f t="shared" si="2"/>
        <v>2.5033333333333334</v>
      </c>
      <c r="F18" s="100">
        <f t="shared" si="2"/>
        <v>0.85333333333333339</v>
      </c>
      <c r="G18" s="100">
        <f t="shared" si="2"/>
        <v>5.0366666666666662</v>
      </c>
      <c r="H18" s="100">
        <f t="shared" si="2"/>
        <v>9.5266666666666655</v>
      </c>
      <c r="J18" s="96">
        <v>4</v>
      </c>
      <c r="K18" s="58">
        <v>0.57999999999999996</v>
      </c>
      <c r="L18" s="91">
        <v>1.1399999999999999</v>
      </c>
      <c r="M18" s="92">
        <v>1.92</v>
      </c>
      <c r="N18" s="91">
        <v>1.03</v>
      </c>
      <c r="O18" s="91">
        <v>2.91</v>
      </c>
      <c r="P18" s="91">
        <v>6.24</v>
      </c>
      <c r="S18" s="96">
        <v>2</v>
      </c>
      <c r="T18" s="97">
        <v>0.36842105263157898</v>
      </c>
      <c r="U18" s="97">
        <v>1.4683544303797467</v>
      </c>
      <c r="V18" s="97">
        <v>0.90909090909090906</v>
      </c>
      <c r="W18" s="97">
        <v>1.6698113207547169</v>
      </c>
      <c r="X18" s="97">
        <v>1.2866894197952219</v>
      </c>
      <c r="Y18" s="97">
        <v>1.1903846153846154</v>
      </c>
      <c r="Z18" s="98">
        <f>(T18*U18*V18*W18*X18*Y18)^(1/5)</f>
        <v>1.0469410235823136</v>
      </c>
    </row>
    <row r="19" spans="1:27" ht="17.399999999999999" thickBot="1" x14ac:dyDescent="0.3">
      <c r="A19" s="65">
        <v>2</v>
      </c>
      <c r="B19" s="52">
        <v>1</v>
      </c>
      <c r="C19" s="58">
        <v>0.17</v>
      </c>
      <c r="D19" s="58">
        <v>0.85</v>
      </c>
      <c r="E19" s="58">
        <v>1.86</v>
      </c>
      <c r="F19" s="58">
        <v>1.1100000000000001</v>
      </c>
      <c r="G19" s="58">
        <v>2.58</v>
      </c>
      <c r="H19" s="58">
        <v>3.98</v>
      </c>
      <c r="J19" s="96">
        <v>5</v>
      </c>
      <c r="K19" s="58">
        <v>0.56999999999999995</v>
      </c>
      <c r="L19" s="91">
        <v>1.03</v>
      </c>
      <c r="M19" s="92">
        <v>1.66</v>
      </c>
      <c r="N19" s="91">
        <v>0.82</v>
      </c>
      <c r="O19" s="91">
        <v>3.72</v>
      </c>
      <c r="P19" s="91">
        <v>3.93</v>
      </c>
      <c r="S19" s="96">
        <v>3</v>
      </c>
      <c r="T19" s="97">
        <v>0.98245614035087736</v>
      </c>
      <c r="U19" s="97">
        <v>0.82278481012658222</v>
      </c>
      <c r="V19" s="97">
        <v>0.39090909090909087</v>
      </c>
      <c r="W19" s="97">
        <v>0.81132075471698106</v>
      </c>
      <c r="X19" s="97">
        <v>0.39931740614334466</v>
      </c>
      <c r="Y19" s="97">
        <v>0.69807692307692304</v>
      </c>
      <c r="Z19" s="98">
        <f>(T19*U19*V19*W19*X19*Y19)^(1/5)</f>
        <v>0.58995361027177007</v>
      </c>
    </row>
    <row r="20" spans="1:27" ht="17.399999999999999" thickBot="1" x14ac:dyDescent="0.3">
      <c r="A20" s="62"/>
      <c r="B20" s="52">
        <v>2</v>
      </c>
      <c r="C20" s="58">
        <v>0.28000000000000003</v>
      </c>
      <c r="D20" s="58">
        <v>1.52</v>
      </c>
      <c r="E20" s="58">
        <v>1.49</v>
      </c>
      <c r="F20" s="58">
        <v>2.4700000000000002</v>
      </c>
      <c r="G20" s="58">
        <v>5.08</v>
      </c>
      <c r="H20" s="58">
        <v>8.59</v>
      </c>
      <c r="J20" s="101" t="s">
        <v>89</v>
      </c>
      <c r="K20" s="61">
        <v>0.56999999999999995</v>
      </c>
      <c r="L20" s="102">
        <v>0.79</v>
      </c>
      <c r="M20" s="102">
        <v>2.2000000000000002</v>
      </c>
      <c r="N20" s="102">
        <v>1.06</v>
      </c>
      <c r="O20" s="102">
        <v>2.93</v>
      </c>
      <c r="P20" s="102">
        <v>5.2</v>
      </c>
      <c r="S20" s="96">
        <v>4</v>
      </c>
      <c r="T20" s="97">
        <v>1.0175438596491229</v>
      </c>
      <c r="U20" s="97">
        <v>1.4430379746835442</v>
      </c>
      <c r="V20" s="97">
        <v>0.87272727272727257</v>
      </c>
      <c r="W20" s="97">
        <v>0.97169811320754718</v>
      </c>
      <c r="X20" s="97">
        <v>0.99317406143344711</v>
      </c>
      <c r="Y20" s="97">
        <v>1.2</v>
      </c>
      <c r="Z20" s="98">
        <f>(T20*U20*V20*W20*X20*Y20)^(1/5)</f>
        <v>1.0821550338464183</v>
      </c>
    </row>
    <row r="21" spans="1:27" ht="17.399999999999999" thickBot="1" x14ac:dyDescent="0.3">
      <c r="A21" s="64"/>
      <c r="B21" s="52">
        <v>3</v>
      </c>
      <c r="C21" s="58">
        <v>0.18</v>
      </c>
      <c r="D21" s="58">
        <v>1.1000000000000001</v>
      </c>
      <c r="E21" s="58">
        <v>2.66</v>
      </c>
      <c r="F21" s="58">
        <v>1.73</v>
      </c>
      <c r="G21" s="58">
        <v>3.65</v>
      </c>
      <c r="H21" s="58">
        <v>6</v>
      </c>
      <c r="S21" s="96">
        <v>5</v>
      </c>
      <c r="T21" s="97">
        <v>1</v>
      </c>
      <c r="U21" s="97">
        <v>1.3037974683544304</v>
      </c>
      <c r="V21" s="97">
        <v>0.75454545454545441</v>
      </c>
      <c r="W21" s="97">
        <v>0.7735849056603773</v>
      </c>
      <c r="X21" s="97">
        <v>1.2696245733788396</v>
      </c>
      <c r="Y21" s="97">
        <v>0.75576923076923075</v>
      </c>
      <c r="Z21" s="98">
        <f>(T21*U21*V21*W21*X21*Y21)^(1/5)</f>
        <v>0.93906058160270978</v>
      </c>
    </row>
    <row r="22" spans="1:27" ht="17.399999999999999" thickBot="1" x14ac:dyDescent="0.3">
      <c r="A22" s="99"/>
      <c r="B22" s="52"/>
      <c r="C22" s="100">
        <f>AVERAGE(C19:C21)</f>
        <v>0.21000000000000005</v>
      </c>
      <c r="D22" s="100">
        <f t="shared" ref="D22:H22" si="3">AVERAGE(D19:D21)</f>
        <v>1.1566666666666667</v>
      </c>
      <c r="E22" s="100">
        <f t="shared" si="3"/>
        <v>2.0033333333333334</v>
      </c>
      <c r="F22" s="100">
        <f t="shared" si="3"/>
        <v>1.7700000000000002</v>
      </c>
      <c r="G22" s="100">
        <f t="shared" si="3"/>
        <v>3.77</v>
      </c>
      <c r="H22" s="100">
        <f t="shared" si="3"/>
        <v>6.19</v>
      </c>
      <c r="J22" s="75" t="s">
        <v>0</v>
      </c>
      <c r="K22" s="48" t="s">
        <v>2</v>
      </c>
      <c r="L22" s="49" t="s">
        <v>3</v>
      </c>
      <c r="M22" s="49" t="s">
        <v>4</v>
      </c>
      <c r="N22" s="49" t="s">
        <v>5</v>
      </c>
      <c r="O22" s="49" t="s">
        <v>6</v>
      </c>
      <c r="P22" s="49" t="s">
        <v>7</v>
      </c>
    </row>
    <row r="23" spans="1:27" ht="17.399999999999999" thickBot="1" x14ac:dyDescent="0.3">
      <c r="A23" s="57">
        <v>3</v>
      </c>
      <c r="B23" s="52">
        <v>1</v>
      </c>
      <c r="C23" s="58">
        <v>0.51</v>
      </c>
      <c r="D23" s="58">
        <v>0.6</v>
      </c>
      <c r="E23" s="58">
        <v>0.69</v>
      </c>
      <c r="F23" s="58">
        <v>0.78</v>
      </c>
      <c r="G23" s="58">
        <v>1.0900000000000001</v>
      </c>
      <c r="H23" s="58">
        <v>1.2</v>
      </c>
      <c r="J23" s="80" t="s">
        <v>27</v>
      </c>
      <c r="K23" s="84">
        <f>K15/$K$20</f>
        <v>1.0877192982456141</v>
      </c>
      <c r="L23" s="84">
        <f>L15/$L$20</f>
        <v>1.9240506329113924</v>
      </c>
      <c r="M23" s="84">
        <f>M15/$M$20</f>
        <v>1.1363636363636362</v>
      </c>
      <c r="N23" s="84">
        <f>N15/$N$20</f>
        <v>0.80188679245283012</v>
      </c>
      <c r="O23" s="84">
        <f>O15/$O$20</f>
        <v>1.7201365187713309</v>
      </c>
      <c r="P23" s="84">
        <f>P15/$P$20</f>
        <v>1.8326923076923074</v>
      </c>
    </row>
    <row r="24" spans="1:27" ht="17.399999999999999" thickBot="1" x14ac:dyDescent="0.3">
      <c r="A24" s="62"/>
      <c r="B24" s="52">
        <v>2</v>
      </c>
      <c r="C24" s="58">
        <v>0.62</v>
      </c>
      <c r="D24" s="58">
        <v>0.71</v>
      </c>
      <c r="E24" s="58">
        <v>0.84</v>
      </c>
      <c r="F24" s="58">
        <v>0.95</v>
      </c>
      <c r="G24" s="58">
        <v>1.28</v>
      </c>
      <c r="H24" s="58">
        <v>4.07</v>
      </c>
      <c r="J24" s="80" t="s">
        <v>28</v>
      </c>
      <c r="K24" s="84">
        <f t="shared" ref="K24:K27" si="4">K16/$K$20</f>
        <v>0.36842105263157898</v>
      </c>
      <c r="L24" s="84">
        <f t="shared" ref="L24:L27" si="5">L16/$L$20</f>
        <v>1.4683544303797467</v>
      </c>
      <c r="M24" s="84">
        <f t="shared" ref="M24:M27" si="6">M16/$M$20</f>
        <v>0.90909090909090906</v>
      </c>
      <c r="N24" s="84">
        <f>N16/$N$20</f>
        <v>1.6698113207547169</v>
      </c>
      <c r="O24" s="84">
        <f t="shared" ref="O24:O27" si="7">O16/$O$20</f>
        <v>1.2866894197952219</v>
      </c>
      <c r="P24" s="84">
        <f t="shared" ref="P24:P27" si="8">P16/$P$20</f>
        <v>1.1903846153846154</v>
      </c>
      <c r="S24" s="103" t="s">
        <v>32</v>
      </c>
      <c r="T24" s="103" t="s">
        <v>2</v>
      </c>
      <c r="U24" s="103" t="s">
        <v>3</v>
      </c>
      <c r="V24" s="103" t="s">
        <v>4</v>
      </c>
      <c r="W24" s="103" t="s">
        <v>5</v>
      </c>
      <c r="X24" s="103" t="s">
        <v>6</v>
      </c>
      <c r="Y24" s="103" t="s">
        <v>7</v>
      </c>
    </row>
    <row r="25" spans="1:27" ht="17.399999999999999" thickBot="1" x14ac:dyDescent="0.3">
      <c r="A25" s="63"/>
      <c r="B25" s="52">
        <v>3</v>
      </c>
      <c r="C25" s="58">
        <v>0.55000000000000004</v>
      </c>
      <c r="D25" s="58">
        <v>0.65</v>
      </c>
      <c r="E25" s="58">
        <v>1.05</v>
      </c>
      <c r="F25" s="58">
        <v>0.84</v>
      </c>
      <c r="G25" s="58">
        <v>1.1299999999999999</v>
      </c>
      <c r="H25" s="58">
        <v>5.63</v>
      </c>
      <c r="J25" s="80" t="s">
        <v>29</v>
      </c>
      <c r="K25" s="84">
        <f t="shared" si="4"/>
        <v>0.98245614035087736</v>
      </c>
      <c r="L25" s="84">
        <f t="shared" si="5"/>
        <v>0.82278481012658222</v>
      </c>
      <c r="M25" s="84">
        <f t="shared" si="6"/>
        <v>0.39090909090909087</v>
      </c>
      <c r="N25" s="84">
        <f t="shared" ref="N25:N27" si="9">N17/$N$20</f>
        <v>0.81132075471698106</v>
      </c>
      <c r="O25" s="84">
        <f t="shared" si="7"/>
        <v>0.39931740614334466</v>
      </c>
      <c r="P25" s="84">
        <f t="shared" si="8"/>
        <v>0.69807692307692304</v>
      </c>
      <c r="S25" s="104">
        <v>1</v>
      </c>
      <c r="T25" s="105">
        <v>1.0877192982456141</v>
      </c>
      <c r="U25" s="105">
        <v>1.9240506329113924</v>
      </c>
      <c r="V25" s="105">
        <v>1.1363636363636362</v>
      </c>
      <c r="W25" s="105">
        <v>0.80188679245283012</v>
      </c>
      <c r="X25" s="105">
        <v>1.7201365187713309</v>
      </c>
      <c r="Y25" s="105">
        <v>1.8326923076923074</v>
      </c>
    </row>
    <row r="26" spans="1:27" ht="17.399999999999999" thickBot="1" x14ac:dyDescent="0.3">
      <c r="A26" s="99"/>
      <c r="B26" s="52"/>
      <c r="C26" s="100">
        <f>AVERAGE(C23:C25)</f>
        <v>0.55999999999999994</v>
      </c>
      <c r="D26" s="100">
        <f t="shared" ref="D26:H26" si="10">AVERAGE(D23:D25)</f>
        <v>0.65333333333333332</v>
      </c>
      <c r="E26" s="100">
        <f t="shared" si="10"/>
        <v>0.86</v>
      </c>
      <c r="F26" s="100">
        <f t="shared" si="10"/>
        <v>0.85666666666666658</v>
      </c>
      <c r="G26" s="100">
        <f t="shared" si="10"/>
        <v>1.1666666666666667</v>
      </c>
      <c r="H26" s="100">
        <f t="shared" si="10"/>
        <v>3.6333333333333333</v>
      </c>
      <c r="J26" s="80" t="s">
        <v>30</v>
      </c>
      <c r="K26" s="84">
        <f t="shared" si="4"/>
        <v>1.0175438596491229</v>
      </c>
      <c r="L26" s="84">
        <f t="shared" si="5"/>
        <v>1.4430379746835442</v>
      </c>
      <c r="M26" s="84">
        <f t="shared" si="6"/>
        <v>0.87272727272727257</v>
      </c>
      <c r="N26" s="84">
        <f t="shared" si="9"/>
        <v>0.97169811320754718</v>
      </c>
      <c r="O26" s="84">
        <f t="shared" si="7"/>
        <v>0.99317406143344711</v>
      </c>
      <c r="P26" s="84">
        <f t="shared" si="8"/>
        <v>1.2</v>
      </c>
      <c r="S26" s="104">
        <v>2</v>
      </c>
      <c r="T26" s="105">
        <v>0.36842105263157898</v>
      </c>
      <c r="U26" s="105">
        <v>1.4683544303797467</v>
      </c>
      <c r="V26" s="105">
        <v>0.90909090909090906</v>
      </c>
      <c r="W26" s="105">
        <v>1.6698113207547169</v>
      </c>
      <c r="X26" s="105">
        <v>1.2866894197952219</v>
      </c>
      <c r="Y26" s="105">
        <v>1.1903846153846154</v>
      </c>
    </row>
    <row r="27" spans="1:27" ht="17.399999999999999" thickBot="1" x14ac:dyDescent="0.3">
      <c r="A27" s="65">
        <v>4</v>
      </c>
      <c r="B27" s="52">
        <v>1</v>
      </c>
      <c r="C27" s="58">
        <v>0.55000000000000004</v>
      </c>
      <c r="D27" s="58">
        <v>1.03</v>
      </c>
      <c r="E27" s="58">
        <v>1.37</v>
      </c>
      <c r="F27" s="58">
        <v>0.87</v>
      </c>
      <c r="G27" s="58">
        <v>2.04</v>
      </c>
      <c r="H27" s="58">
        <v>5.2</v>
      </c>
      <c r="J27" s="80" t="s">
        <v>31</v>
      </c>
      <c r="K27" s="84">
        <f t="shared" si="4"/>
        <v>1</v>
      </c>
      <c r="L27" s="84">
        <f t="shared" si="5"/>
        <v>1.3037974683544304</v>
      </c>
      <c r="M27" s="84">
        <f t="shared" si="6"/>
        <v>0.75454545454545441</v>
      </c>
      <c r="N27" s="84">
        <f t="shared" si="9"/>
        <v>0.7735849056603773</v>
      </c>
      <c r="O27" s="84">
        <f t="shared" si="7"/>
        <v>1.2696245733788396</v>
      </c>
      <c r="P27" s="84">
        <f t="shared" si="8"/>
        <v>0.75576923076923075</v>
      </c>
      <c r="S27" s="104">
        <v>3</v>
      </c>
      <c r="T27" s="105">
        <v>0.98245614035087736</v>
      </c>
      <c r="U27" s="105">
        <v>0.82278481012658222</v>
      </c>
      <c r="V27" s="105">
        <v>0.39090909090909087</v>
      </c>
      <c r="W27" s="105">
        <v>0.81132075471698106</v>
      </c>
      <c r="X27" s="105">
        <v>0.39931740614334466</v>
      </c>
      <c r="Y27" s="105">
        <v>0.69807692307692304</v>
      </c>
    </row>
    <row r="28" spans="1:27" ht="17.399999999999999" thickBot="1" x14ac:dyDescent="0.3">
      <c r="A28" s="62"/>
      <c r="B28" s="52">
        <v>2</v>
      </c>
      <c r="C28" s="58">
        <v>0.66</v>
      </c>
      <c r="D28" s="58">
        <v>1.34</v>
      </c>
      <c r="E28" s="58">
        <v>2.37</v>
      </c>
      <c r="F28" s="58">
        <v>1.3</v>
      </c>
      <c r="G28" s="58">
        <v>3.66</v>
      </c>
      <c r="H28" s="58">
        <v>5.67</v>
      </c>
      <c r="S28" s="104">
        <v>4</v>
      </c>
      <c r="T28" s="105">
        <v>1.0175438596491229</v>
      </c>
      <c r="U28" s="105">
        <v>1.4430379746835442</v>
      </c>
      <c r="V28" s="105">
        <v>0.87272727272727257</v>
      </c>
      <c r="W28" s="105">
        <v>0.97169811320754718</v>
      </c>
      <c r="X28" s="105">
        <v>0.99317406143344711</v>
      </c>
      <c r="Y28" s="105">
        <v>1.2</v>
      </c>
    </row>
    <row r="29" spans="1:27" ht="17.399999999999999" thickBot="1" x14ac:dyDescent="0.3">
      <c r="A29" s="64"/>
      <c r="B29" s="52">
        <v>3</v>
      </c>
      <c r="C29" s="58">
        <v>0.52</v>
      </c>
      <c r="D29" s="58">
        <v>1.04</v>
      </c>
      <c r="E29" s="58">
        <v>2.0099999999999998</v>
      </c>
      <c r="F29" s="58">
        <v>0.91</v>
      </c>
      <c r="G29" s="58">
        <v>3.04</v>
      </c>
      <c r="H29" s="58">
        <v>7.86</v>
      </c>
      <c r="S29" s="104">
        <v>5</v>
      </c>
      <c r="T29" s="105">
        <v>1</v>
      </c>
      <c r="U29" s="105">
        <v>1.3037974683544304</v>
      </c>
      <c r="V29" s="105">
        <v>0.75454545454545441</v>
      </c>
      <c r="W29" s="105">
        <v>0.7735849056603773</v>
      </c>
      <c r="X29" s="105">
        <v>1.2696245733788396</v>
      </c>
      <c r="Y29" s="105">
        <v>0.75576923076923075</v>
      </c>
    </row>
    <row r="30" spans="1:27" ht="17.399999999999999" thickBot="1" x14ac:dyDescent="0.3">
      <c r="A30" s="99"/>
      <c r="B30" s="52"/>
      <c r="C30" s="100">
        <f>AVERAGE(C27:C29)</f>
        <v>0.57666666666666666</v>
      </c>
      <c r="D30" s="100">
        <f t="shared" ref="D30:H30" si="11">AVERAGE(D27:D29)</f>
        <v>1.1366666666666667</v>
      </c>
      <c r="E30" s="100">
        <f t="shared" si="11"/>
        <v>1.9166666666666667</v>
      </c>
      <c r="F30" s="100">
        <f t="shared" si="11"/>
        <v>1.0266666666666666</v>
      </c>
      <c r="G30" s="100">
        <f t="shared" si="11"/>
        <v>2.9133333333333336</v>
      </c>
      <c r="H30" s="100">
        <f t="shared" si="11"/>
        <v>6.2433333333333332</v>
      </c>
      <c r="S30" s="84" t="s">
        <v>38</v>
      </c>
      <c r="T30" s="84">
        <f>AVERAGE(T25:T29)</f>
        <v>0.8912280701754387</v>
      </c>
      <c r="U30" s="84">
        <f t="shared" ref="U30:Y30" si="12">AVERAGE(U25:U29)</f>
        <v>1.3924050632911391</v>
      </c>
      <c r="V30" s="84">
        <f t="shared" si="12"/>
        <v>0.81272727272727274</v>
      </c>
      <c r="W30" s="84">
        <f t="shared" si="12"/>
        <v>1.0056603773584905</v>
      </c>
      <c r="X30" s="84">
        <f t="shared" si="12"/>
        <v>1.1337883959044368</v>
      </c>
      <c r="Y30" s="106">
        <f t="shared" si="12"/>
        <v>1.1353846153846152</v>
      </c>
    </row>
    <row r="31" spans="1:27" ht="17.399999999999999" thickBot="1" x14ac:dyDescent="0.3">
      <c r="A31" s="57">
        <v>5</v>
      </c>
      <c r="B31" s="52">
        <v>1</v>
      </c>
      <c r="C31" s="58">
        <v>0.75</v>
      </c>
      <c r="D31" s="58">
        <v>0.35</v>
      </c>
      <c r="E31" s="58">
        <v>1.23</v>
      </c>
      <c r="F31" s="58">
        <v>0.95</v>
      </c>
      <c r="G31" s="58">
        <v>3.81</v>
      </c>
      <c r="H31" s="58">
        <v>5.86</v>
      </c>
      <c r="S31" s="84" t="s">
        <v>39</v>
      </c>
      <c r="T31" s="84">
        <f>T30*5</f>
        <v>4.4561403508771935</v>
      </c>
      <c r="U31" s="84">
        <f>U30*5</f>
        <v>6.962025316455696</v>
      </c>
      <c r="V31" s="84">
        <f>V30*5</f>
        <v>4.0636363636363635</v>
      </c>
      <c r="W31" s="84">
        <f>W30*30</f>
        <v>30.169811320754715</v>
      </c>
      <c r="X31" s="84">
        <v>1.1299999999999999</v>
      </c>
      <c r="AA31" s="106"/>
    </row>
    <row r="32" spans="1:27" ht="17.399999999999999" thickBot="1" x14ac:dyDescent="0.3">
      <c r="A32" s="62"/>
      <c r="B32" s="52">
        <v>2</v>
      </c>
      <c r="C32" s="58">
        <v>0.53</v>
      </c>
      <c r="D32" s="58">
        <v>0.67</v>
      </c>
      <c r="E32" s="58">
        <v>1.49</v>
      </c>
      <c r="F32" s="58">
        <v>1.1299999999999999</v>
      </c>
      <c r="G32" s="58">
        <v>4.54</v>
      </c>
      <c r="H32" s="58">
        <v>3.8</v>
      </c>
    </row>
    <row r="33" spans="1:8" ht="17.399999999999999" thickBot="1" x14ac:dyDescent="0.3">
      <c r="A33" s="64"/>
      <c r="B33" s="52">
        <v>3</v>
      </c>
      <c r="C33" s="58">
        <v>0.44</v>
      </c>
      <c r="D33" s="58">
        <v>2.08</v>
      </c>
      <c r="E33" s="58">
        <v>2.2599999999999998</v>
      </c>
      <c r="F33" s="58">
        <v>0.39</v>
      </c>
      <c r="G33" s="58">
        <v>2.82</v>
      </c>
      <c r="H33" s="58">
        <v>2.13</v>
      </c>
    </row>
    <row r="34" spans="1:8" ht="17.399999999999999" thickBot="1" x14ac:dyDescent="0.3">
      <c r="A34" s="107"/>
      <c r="C34" s="100">
        <f>AVERAGE(C31:C33)</f>
        <v>0.57333333333333336</v>
      </c>
      <c r="D34" s="100">
        <f t="shared" ref="D34:H34" si="13">AVERAGE(D31:D33)</f>
        <v>1.0333333333333334</v>
      </c>
      <c r="E34" s="100">
        <f t="shared" si="13"/>
        <v>1.66</v>
      </c>
      <c r="F34" s="100">
        <f t="shared" si="13"/>
        <v>0.82333333333333336</v>
      </c>
      <c r="G34" s="100">
        <f t="shared" si="13"/>
        <v>3.7233333333333332</v>
      </c>
      <c r="H34" s="100">
        <f t="shared" si="13"/>
        <v>3.9299999999999997</v>
      </c>
    </row>
    <row r="36" spans="1:8" ht="18" x14ac:dyDescent="0.25">
      <c r="A36" s="108"/>
    </row>
    <row r="37" spans="1:8" ht="18" x14ac:dyDescent="0.25">
      <c r="A37" s="108"/>
    </row>
  </sheetData>
  <mergeCells count="10">
    <mergeCell ref="X2:AC2"/>
    <mergeCell ref="A31:A33"/>
    <mergeCell ref="A2:H2"/>
    <mergeCell ref="A12:H12"/>
    <mergeCell ref="A19:A21"/>
    <mergeCell ref="A23:A25"/>
    <mergeCell ref="A27:A29"/>
    <mergeCell ref="A5:A7"/>
    <mergeCell ref="A8:A10"/>
    <mergeCell ref="A15:A17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Q32"/>
  <sheetViews>
    <sheetView topLeftCell="A13" zoomScale="85" zoomScaleNormal="85" workbookViewId="0">
      <selection activeCell="H39" sqref="H39"/>
    </sheetView>
  </sheetViews>
  <sheetFormatPr defaultRowHeight="13.8" x14ac:dyDescent="0.25"/>
  <cols>
    <col min="13" max="13" width="12.3984375" bestFit="1" customWidth="1"/>
    <col min="14" max="17" width="10.296875" bestFit="1" customWidth="1"/>
  </cols>
  <sheetData>
    <row r="1" spans="4:17" ht="14.4" thickBot="1" x14ac:dyDescent="0.3"/>
    <row r="2" spans="4:17" ht="16.2" thickBot="1" x14ac:dyDescent="0.3">
      <c r="D2" s="93" t="s">
        <v>32</v>
      </c>
      <c r="E2" s="1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</row>
    <row r="3" spans="4:17" ht="15.6" x14ac:dyDescent="0.25">
      <c r="D3" s="113" t="s">
        <v>17</v>
      </c>
      <c r="E3" s="113"/>
      <c r="F3" s="113"/>
      <c r="G3" s="113"/>
      <c r="H3" s="113"/>
      <c r="I3" s="114"/>
      <c r="J3" s="115" t="s">
        <v>18</v>
      </c>
      <c r="L3" t="s">
        <v>32</v>
      </c>
      <c r="M3" t="str">
        <f>E2</f>
        <v>Pb</v>
      </c>
      <c r="N3" t="str">
        <f>F2</f>
        <v>Cu</v>
      </c>
      <c r="O3" t="str">
        <f>G2</f>
        <v>Ni</v>
      </c>
      <c r="P3" t="str">
        <f>H2</f>
        <v>Cd</v>
      </c>
      <c r="Q3" t="str">
        <f>I2</f>
        <v>Zn</v>
      </c>
    </row>
    <row r="4" spans="4:17" ht="16.8" x14ac:dyDescent="0.25">
      <c r="D4" s="116">
        <v>1</v>
      </c>
      <c r="E4" s="117">
        <v>1.5832666666666668</v>
      </c>
      <c r="F4" s="117">
        <v>3.8607999999999998</v>
      </c>
      <c r="G4" s="117">
        <v>6.3584666666666658</v>
      </c>
      <c r="H4" s="117">
        <v>2.1674666666666669</v>
      </c>
      <c r="I4" s="117">
        <v>12.793133333333335</v>
      </c>
      <c r="J4" s="117">
        <v>24.197733333333332</v>
      </c>
      <c r="L4">
        <v>1</v>
      </c>
      <c r="M4" s="16">
        <f>E4/($J$4*1000)</f>
        <v>6.5430370888733383E-5</v>
      </c>
      <c r="N4" s="16">
        <f>F4/($J$4*1000)</f>
        <v>1.5955213435969208E-4</v>
      </c>
      <c r="O4" s="16">
        <f>G4/($J$4*1000)</f>
        <v>2.6277116864940512E-4</v>
      </c>
      <c r="P4" s="16">
        <f>H4/($J$4*1000)</f>
        <v>8.9573128061581539E-5</v>
      </c>
      <c r="Q4" s="16">
        <f>I4/($J$4*1000)</f>
        <v>5.2869139258222538E-4</v>
      </c>
    </row>
    <row r="5" spans="4:17" ht="16.8" x14ac:dyDescent="0.25">
      <c r="D5" s="118">
        <v>2</v>
      </c>
      <c r="E5" s="117">
        <v>0.53339999999999999</v>
      </c>
      <c r="F5" s="117">
        <v>2.9379333333333335</v>
      </c>
      <c r="G5" s="117">
        <v>5.0884666666666662</v>
      </c>
      <c r="H5" s="117">
        <v>4.4958</v>
      </c>
      <c r="I5" s="117">
        <v>9.575800000000001</v>
      </c>
      <c r="J5" s="117">
        <v>15.7226</v>
      </c>
      <c r="L5">
        <v>2</v>
      </c>
      <c r="M5" s="16">
        <f>E5/($J$5*1000)</f>
        <v>3.3925686591276249E-5</v>
      </c>
      <c r="N5" s="16">
        <f>F5/($J$5*1000)</f>
        <v>1.8686052773290253E-4</v>
      </c>
      <c r="O5" s="16">
        <f>G5/($J$5*1000)</f>
        <v>3.2364028002154007E-4</v>
      </c>
      <c r="P5" s="16">
        <f>H5/($J$5*1000)</f>
        <v>2.8594507269789985E-4</v>
      </c>
      <c r="Q5" s="16">
        <f>I5/($J$5*1000)</f>
        <v>6.0904684975767375E-4</v>
      </c>
    </row>
    <row r="6" spans="4:17" ht="16.8" x14ac:dyDescent="0.25">
      <c r="D6" s="118">
        <v>3</v>
      </c>
      <c r="E6" s="117">
        <v>1.4224000000000003</v>
      </c>
      <c r="F6" s="117">
        <v>1.6594666666666666</v>
      </c>
      <c r="G6" s="117">
        <v>2.1844000000000001</v>
      </c>
      <c r="H6" s="117">
        <v>2.1759333333333331</v>
      </c>
      <c r="I6" s="117">
        <v>2.9633333333333334</v>
      </c>
      <c r="J6" s="117">
        <v>9.2286666666666672</v>
      </c>
      <c r="L6">
        <v>3</v>
      </c>
      <c r="M6" s="16">
        <f>E6/($J$6*1000)</f>
        <v>1.541284403669725E-4</v>
      </c>
      <c r="N6" s="16">
        <f>F6/($J$6*1000)</f>
        <v>1.7981651376146787E-4</v>
      </c>
      <c r="O6" s="16">
        <f>G6/($J$6*1000)</f>
        <v>2.3669724770642201E-4</v>
      </c>
      <c r="P6" s="16">
        <f>H6/($J$6*1000)</f>
        <v>2.357798165137614E-4</v>
      </c>
      <c r="Q6" s="16">
        <f>I6/($J$6*1000)</f>
        <v>3.2110091743119265E-4</v>
      </c>
    </row>
    <row r="7" spans="4:17" ht="16.8" x14ac:dyDescent="0.25">
      <c r="D7" s="118">
        <v>4</v>
      </c>
      <c r="E7" s="117">
        <v>0.64666666666666661</v>
      </c>
      <c r="F7" s="117">
        <v>1.1883333333333335</v>
      </c>
      <c r="G7" s="117">
        <v>1.9150000000000003</v>
      </c>
      <c r="H7" s="117">
        <v>1.1283333333333334</v>
      </c>
      <c r="I7" s="117">
        <v>3.3783333333333339</v>
      </c>
      <c r="J7" s="117">
        <v>7.6050000000000004</v>
      </c>
      <c r="L7">
        <v>4</v>
      </c>
      <c r="M7" s="16">
        <f>E7/($J$7*1000)</f>
        <v>8.5031777339469641E-5</v>
      </c>
      <c r="N7" s="16">
        <f>F7/($J$7*1000)</f>
        <v>1.5625684856454089E-4</v>
      </c>
      <c r="O7" s="16">
        <f>G7/($J$7*1000)</f>
        <v>2.518080210387903E-4</v>
      </c>
      <c r="P7" s="16">
        <f>H7/($J$7*1000)</f>
        <v>1.4836730221345608E-4</v>
      </c>
      <c r="Q7" s="16">
        <f>I7/($J$7*1000)</f>
        <v>4.4422529037913661E-4</v>
      </c>
    </row>
    <row r="8" spans="4:17" ht="16.8" x14ac:dyDescent="0.25">
      <c r="D8" s="118">
        <v>5</v>
      </c>
      <c r="E8" s="117">
        <v>1.4562666666666668</v>
      </c>
      <c r="F8" s="117">
        <v>2.6246666666666667</v>
      </c>
      <c r="G8" s="117">
        <v>4.2164000000000001</v>
      </c>
      <c r="H8" s="117">
        <v>2.0912666666666664</v>
      </c>
      <c r="I8" s="117">
        <v>9.4572666666666674</v>
      </c>
      <c r="J8" s="117">
        <v>9.9822000000000006</v>
      </c>
      <c r="L8">
        <v>5</v>
      </c>
      <c r="M8" s="16">
        <f>E8/($J$8*1000)</f>
        <v>1.458863443596268E-4</v>
      </c>
      <c r="N8" s="16">
        <f>F8/($J$8*1000)</f>
        <v>2.6293469041560645E-4</v>
      </c>
      <c r="O8" s="16">
        <f>G8/($J$8*1000)</f>
        <v>4.2239185750636132E-4</v>
      </c>
      <c r="P8" s="16">
        <f>H8/($J$8*1000)</f>
        <v>2.0949957591178962E-4</v>
      </c>
      <c r="Q8" s="16">
        <f>I8/($J$8*1000)</f>
        <v>9.4741306191687866E-4</v>
      </c>
    </row>
    <row r="9" spans="4:17" ht="13.8" customHeight="1" x14ac:dyDescent="0.25">
      <c r="D9" t="s">
        <v>85</v>
      </c>
      <c r="E9" s="117">
        <v>1.3461999999999998</v>
      </c>
      <c r="F9" s="117">
        <v>2.2182666666666671</v>
      </c>
      <c r="G9" s="117">
        <v>6.6378666666666666</v>
      </c>
      <c r="H9" s="117">
        <v>2.1505333333333332</v>
      </c>
      <c r="I9" s="117">
        <v>11.108266666666665</v>
      </c>
      <c r="J9" s="117">
        <v>13.589000000000002</v>
      </c>
      <c r="L9" t="s">
        <v>85</v>
      </c>
      <c r="M9" s="17">
        <f>E9/($J$9*1000)</f>
        <v>9.9065420560747632E-5</v>
      </c>
      <c r="N9" s="17">
        <f>F9/($J$9*1000)</f>
        <v>1.632398753894081E-4</v>
      </c>
      <c r="O9" s="17">
        <f>G9/($J$9*1000)</f>
        <v>4.884735202492211E-4</v>
      </c>
      <c r="P9" s="17">
        <f>H9/($J$9*1000)</f>
        <v>1.5825545171339561E-4</v>
      </c>
      <c r="Q9" s="17">
        <f>I9/($J$9*1000)</f>
        <v>8.1744548286604346E-4</v>
      </c>
    </row>
    <row r="10" spans="4:17" ht="16.8" x14ac:dyDescent="0.25">
      <c r="D10" t="s">
        <v>86</v>
      </c>
      <c r="E10" s="117">
        <v>1.524</v>
      </c>
      <c r="F10" s="117">
        <v>1.7695333333333334</v>
      </c>
      <c r="G10" s="117">
        <v>4.5550666666666677</v>
      </c>
      <c r="H10" s="117">
        <v>3.2173333333333334</v>
      </c>
      <c r="I10" s="117">
        <v>3.7591999999999994</v>
      </c>
      <c r="J10" s="117">
        <v>12.810066666666666</v>
      </c>
      <c r="L10" t="s">
        <v>86</v>
      </c>
      <c r="M10" s="17">
        <f>E10/($J$10*1000)</f>
        <v>1.1896893588896233E-4</v>
      </c>
      <c r="N10" s="17">
        <f>F10/($J$10*1000)</f>
        <v>1.3813615333773961E-4</v>
      </c>
      <c r="O10" s="17">
        <f>G10/($J$10*1000)</f>
        <v>3.5558493060145418E-4</v>
      </c>
      <c r="P10" s="17">
        <f>H10/($J$10*1000)</f>
        <v>2.5115664243225382E-4</v>
      </c>
      <c r="Q10" s="17">
        <f>I10/($J$10*1000)</f>
        <v>2.9345670852610702E-4</v>
      </c>
    </row>
    <row r="12" spans="4:17" x14ac:dyDescent="0.25">
      <c r="M12" s="18">
        <f>(M9+M10)/2</f>
        <v>1.0901717822485498E-4</v>
      </c>
      <c r="N12" s="18">
        <f t="shared" ref="N12:Q12" si="0">(N9+N10)/2</f>
        <v>1.5068801436357387E-4</v>
      </c>
      <c r="O12" s="18">
        <f t="shared" si="0"/>
        <v>4.2202922542533767E-4</v>
      </c>
      <c r="P12" s="18">
        <f t="shared" si="0"/>
        <v>2.0470604707282472E-4</v>
      </c>
      <c r="Q12" s="18">
        <f t="shared" si="0"/>
        <v>5.5545109569607519E-4</v>
      </c>
    </row>
    <row r="15" spans="4:17" ht="14.4" thickBot="1" x14ac:dyDescent="0.3"/>
    <row r="16" spans="4:17" ht="16.2" thickBot="1" x14ac:dyDescent="0.3">
      <c r="E16" t="s">
        <v>32</v>
      </c>
      <c r="F16" s="1" t="s">
        <v>2</v>
      </c>
      <c r="G16" s="3" t="s">
        <v>3</v>
      </c>
      <c r="H16" s="3" t="s">
        <v>4</v>
      </c>
      <c r="I16" s="3" t="s">
        <v>5</v>
      </c>
      <c r="J16" s="3" t="s">
        <v>6</v>
      </c>
      <c r="K16" s="3" t="s">
        <v>23</v>
      </c>
      <c r="L16" s="3" t="s">
        <v>24</v>
      </c>
      <c r="M16" s="3" t="s">
        <v>25</v>
      </c>
    </row>
    <row r="17" spans="4:13" ht="16.8" x14ac:dyDescent="0.25">
      <c r="E17">
        <v>1</v>
      </c>
      <c r="F17" s="117">
        <f>M4/$M$12</f>
        <v>0.60018404396579605</v>
      </c>
      <c r="G17" s="117">
        <f>N4/$N$12</f>
        <v>1.0588243201262924</v>
      </c>
      <c r="H17" s="117">
        <f>O4/$O$12</f>
        <v>0.62263737395099594</v>
      </c>
      <c r="I17" s="117">
        <f>P4/$P$12</f>
        <v>0.43756952636438562</v>
      </c>
      <c r="J17" s="117">
        <f>Q4/$Q$12</f>
        <v>0.95182347587177707</v>
      </c>
      <c r="K17" s="117">
        <f>AVERAGE(F17:J17)</f>
        <v>0.73420774805584954</v>
      </c>
      <c r="L17" s="117">
        <f>G17</f>
        <v>1.0588243201262924</v>
      </c>
      <c r="M17" s="117">
        <f>(((K17^2)+(L17^2)/2))^0.5</f>
        <v>1.0486255231257222</v>
      </c>
    </row>
    <row r="18" spans="4:13" ht="16.8" x14ac:dyDescent="0.25">
      <c r="E18">
        <v>2</v>
      </c>
      <c r="F18" s="117">
        <f>M5/$M$12</f>
        <v>0.31119578715661056</v>
      </c>
      <c r="G18" s="117">
        <f>N5/$N$12</f>
        <v>1.2400490412067751</v>
      </c>
      <c r="H18" s="117">
        <f>O5/$O$12</f>
        <v>0.76686698580024326</v>
      </c>
      <c r="I18" s="117">
        <f>P5/$P$12</f>
        <v>1.3968569897506453</v>
      </c>
      <c r="J18" s="117">
        <f>Q5/$Q$12</f>
        <v>1.0964905002022436</v>
      </c>
      <c r="K18" s="117">
        <f t="shared" ref="K18:K21" si="1">AVERAGE(F18:J18)</f>
        <v>0.96229186082330354</v>
      </c>
      <c r="L18" s="117">
        <f>I18</f>
        <v>1.3968569897506453</v>
      </c>
      <c r="M18" s="117">
        <f t="shared" ref="M18:M21" si="2">(((K18^2)+(L18^2)/2))^0.5</f>
        <v>1.3789888869437612</v>
      </c>
    </row>
    <row r="19" spans="4:13" ht="16.8" x14ac:dyDescent="0.25">
      <c r="E19">
        <v>3</v>
      </c>
      <c r="F19" s="117">
        <f>M6/$M$12</f>
        <v>1.4137995761463631</v>
      </c>
      <c r="G19" s="117">
        <f>N6/$N$12</f>
        <v>1.1933033594006619</v>
      </c>
      <c r="H19" s="117">
        <f>O6/$O$12</f>
        <v>0.56085511013572387</v>
      </c>
      <c r="I19" s="117">
        <f>P6/$P$12</f>
        <v>1.1517970274218723</v>
      </c>
      <c r="J19" s="117">
        <f>Q6/$Q$12</f>
        <v>0.57809034840195661</v>
      </c>
      <c r="K19" s="117">
        <f t="shared" si="1"/>
        <v>0.97956908430131551</v>
      </c>
      <c r="L19" s="117">
        <f>F19</f>
        <v>1.4137995761463631</v>
      </c>
      <c r="M19" s="117">
        <f t="shared" si="2"/>
        <v>1.3996321701342591</v>
      </c>
    </row>
    <row r="20" spans="4:13" ht="16.8" x14ac:dyDescent="0.25">
      <c r="E20">
        <v>4</v>
      </c>
      <c r="F20" s="117">
        <f>M7/$M$12</f>
        <v>0.77998512458363312</v>
      </c>
      <c r="G20" s="117">
        <f>N7/$N$12</f>
        <v>1.0369560527058959</v>
      </c>
      <c r="H20" s="117">
        <f>O7/$O$12</f>
        <v>0.59666015021828944</v>
      </c>
      <c r="I20" s="117">
        <f>P7/$P$12</f>
        <v>0.7247822149615053</v>
      </c>
      <c r="J20" s="117">
        <f>Q7/$Q$12</f>
        <v>0.79975589898233324</v>
      </c>
      <c r="K20" s="117">
        <f t="shared" si="1"/>
        <v>0.78762788829033137</v>
      </c>
      <c r="L20" s="117">
        <f>G20</f>
        <v>1.0369560527058959</v>
      </c>
      <c r="M20" s="117">
        <f t="shared" si="2"/>
        <v>1.0761025127906649</v>
      </c>
    </row>
    <row r="21" spans="4:13" ht="16.8" x14ac:dyDescent="0.25">
      <c r="E21">
        <v>5</v>
      </c>
      <c r="F21" s="117">
        <f>M8/$M$12</f>
        <v>1.3381959314588641</v>
      </c>
      <c r="G21" s="117">
        <f>N8/$N$12</f>
        <v>1.7448945194885135</v>
      </c>
      <c r="H21" s="117">
        <f>O8/$O$12</f>
        <v>1.0008592582199922</v>
      </c>
      <c r="I21" s="117">
        <f>P8/$P$12</f>
        <v>1.0234166450259263</v>
      </c>
      <c r="J21" s="117">
        <f>Q8/$Q$12</f>
        <v>1.7056642236516035</v>
      </c>
      <c r="K21" s="117">
        <f t="shared" si="1"/>
        <v>1.3626061155689799</v>
      </c>
      <c r="L21" s="117">
        <f>G21</f>
        <v>1.7448945194885135</v>
      </c>
      <c r="M21" s="117">
        <f t="shared" si="2"/>
        <v>1.8382121390787598</v>
      </c>
    </row>
    <row r="22" spans="4:13" ht="16.8" x14ac:dyDescent="0.25">
      <c r="F22" s="117">
        <f>AVERAGE(F17:F21)</f>
        <v>0.88867209266225333</v>
      </c>
      <c r="G22" s="117">
        <f t="shared" ref="G22:J22" si="3">AVERAGE(G17:G21)</f>
        <v>1.2548054585856279</v>
      </c>
      <c r="H22" s="117">
        <f t="shared" si="3"/>
        <v>0.70957577566504892</v>
      </c>
      <c r="I22" s="117">
        <f t="shared" si="3"/>
        <v>0.94688448070486708</v>
      </c>
      <c r="J22" s="117">
        <f t="shared" si="3"/>
        <v>1.0263648894219828</v>
      </c>
      <c r="K22" s="46"/>
      <c r="L22" s="46"/>
      <c r="M22" s="106"/>
    </row>
    <row r="23" spans="4:13" ht="16.8" x14ac:dyDescent="0.25">
      <c r="F23" s="117">
        <f>(((F22^2)+(F19^2)/2))^0.5</f>
        <v>1.3375921310446344</v>
      </c>
      <c r="G23" s="117">
        <f>(((G22^2)+(G21^2)/2))^0.5</f>
        <v>1.7597912322110294</v>
      </c>
      <c r="H23" s="117">
        <f>(((H22^2)+(H21^2)/2))^0.5</f>
        <v>1.0021763361769187</v>
      </c>
      <c r="I23" s="117">
        <f>(((I22^2)+(I18^2)/2))^0.5</f>
        <v>1.3682817490222337</v>
      </c>
      <c r="J23" s="117">
        <f>(((J22^2)+(J21^2)/2))^0.5</f>
        <v>1.5836887661913601</v>
      </c>
      <c r="K23" s="46"/>
      <c r="L23" s="46"/>
      <c r="M23" s="46"/>
    </row>
    <row r="25" spans="4:13" ht="14.4" thickBot="1" x14ac:dyDescent="0.3"/>
    <row r="26" spans="4:13" ht="16.2" thickBot="1" x14ac:dyDescent="0.3">
      <c r="D26" s="135" t="s">
        <v>32</v>
      </c>
      <c r="E26" s="136"/>
      <c r="F26" s="136" t="s">
        <v>1</v>
      </c>
      <c r="G26" s="137" t="s">
        <v>2</v>
      </c>
      <c r="H26" s="137" t="s">
        <v>3</v>
      </c>
      <c r="I26" s="137" t="s">
        <v>4</v>
      </c>
      <c r="J26" s="137" t="s">
        <v>5</v>
      </c>
      <c r="K26" s="138" t="s">
        <v>6</v>
      </c>
      <c r="L26" s="137" t="s">
        <v>7</v>
      </c>
      <c r="M26" s="24" t="s">
        <v>23</v>
      </c>
    </row>
    <row r="27" spans="4:13" ht="23.4" thickBot="1" x14ac:dyDescent="0.3">
      <c r="D27" s="139">
        <v>1</v>
      </c>
      <c r="E27" s="139"/>
      <c r="F27" s="140">
        <v>1</v>
      </c>
      <c r="G27" s="141">
        <v>1.85</v>
      </c>
      <c r="H27" s="141">
        <v>2.39</v>
      </c>
      <c r="I27" s="141">
        <v>8.23</v>
      </c>
      <c r="J27" s="141">
        <v>2.21</v>
      </c>
      <c r="K27" s="141">
        <v>10.95</v>
      </c>
      <c r="L27" s="141">
        <v>8.69</v>
      </c>
      <c r="M27" s="15"/>
    </row>
    <row r="28" spans="4:13" ht="16.2" thickBot="1" x14ac:dyDescent="0.3">
      <c r="D28" s="142"/>
      <c r="E28" s="142"/>
      <c r="F28" s="140">
        <v>2</v>
      </c>
      <c r="G28" s="141">
        <v>1.17</v>
      </c>
      <c r="H28" s="141">
        <v>1.83</v>
      </c>
      <c r="I28" s="141">
        <v>7.04</v>
      </c>
      <c r="J28" s="141">
        <v>2.84</v>
      </c>
      <c r="K28" s="141">
        <v>8.43</v>
      </c>
      <c r="L28" s="141">
        <v>16.71</v>
      </c>
    </row>
    <row r="29" spans="4:13" ht="16.2" thickBot="1" x14ac:dyDescent="0.3">
      <c r="D29" s="143"/>
      <c r="E29" s="143"/>
      <c r="F29" s="140">
        <v>3</v>
      </c>
      <c r="G29" s="141">
        <v>1.02</v>
      </c>
      <c r="H29" s="141">
        <v>2.44</v>
      </c>
      <c r="I29" s="141">
        <v>4.6500000000000004</v>
      </c>
      <c r="J29" s="141">
        <v>1.4</v>
      </c>
      <c r="K29" s="141">
        <v>13.94</v>
      </c>
      <c r="L29" s="141">
        <v>15.37</v>
      </c>
    </row>
    <row r="30" spans="4:13" ht="16.2" thickBot="1" x14ac:dyDescent="0.3">
      <c r="D30" s="144">
        <v>2</v>
      </c>
      <c r="E30" s="144"/>
      <c r="F30" s="140">
        <v>1</v>
      </c>
      <c r="G30" s="141">
        <v>2.21</v>
      </c>
      <c r="H30" s="141">
        <v>3.53</v>
      </c>
      <c r="I30" s="141">
        <v>4.9000000000000004</v>
      </c>
      <c r="J30" s="141">
        <v>1.93</v>
      </c>
      <c r="K30" s="141">
        <v>6.1</v>
      </c>
      <c r="L30" s="141">
        <v>14.12</v>
      </c>
    </row>
    <row r="31" spans="4:13" ht="16.2" thickBot="1" x14ac:dyDescent="0.3">
      <c r="D31" s="142"/>
      <c r="E31" s="142"/>
      <c r="F31" s="140">
        <v>2</v>
      </c>
      <c r="G31" s="141">
        <v>1.83</v>
      </c>
      <c r="H31" s="141">
        <v>1.47</v>
      </c>
      <c r="I31" s="141">
        <v>2.69</v>
      </c>
      <c r="J31" s="141">
        <v>2.74</v>
      </c>
      <c r="K31" s="141">
        <v>2.06</v>
      </c>
      <c r="L31" s="141">
        <v>9.42</v>
      </c>
    </row>
    <row r="32" spans="4:13" ht="16.2" thickBot="1" x14ac:dyDescent="0.3">
      <c r="D32" s="145"/>
      <c r="E32" s="143"/>
      <c r="F32" s="140">
        <v>3</v>
      </c>
      <c r="G32" s="141">
        <v>0.53</v>
      </c>
      <c r="H32" s="141">
        <v>0.3</v>
      </c>
      <c r="I32" s="141">
        <v>6.07</v>
      </c>
      <c r="J32" s="141">
        <v>4.9800000000000004</v>
      </c>
      <c r="K32" s="141">
        <v>3.12</v>
      </c>
      <c r="L32" s="141">
        <v>14.88</v>
      </c>
    </row>
  </sheetData>
  <mergeCells count="5">
    <mergeCell ref="D27:D29"/>
    <mergeCell ref="E27:E29"/>
    <mergeCell ref="D30:D32"/>
    <mergeCell ref="E30:E32"/>
    <mergeCell ref="D3:I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zoomScale="71" zoomScaleNormal="71" workbookViewId="0">
      <selection activeCell="B4" sqref="B4:B11"/>
    </sheetView>
  </sheetViews>
  <sheetFormatPr defaultRowHeight="13.8" x14ac:dyDescent="0.25"/>
  <sheetData>
    <row r="3" spans="2:7" ht="15" customHeight="1" thickBot="1" x14ac:dyDescent="0.3"/>
    <row r="4" spans="2:7" ht="17.25" customHeight="1" thickBot="1" x14ac:dyDescent="0.3">
      <c r="B4" s="22" t="s">
        <v>84</v>
      </c>
      <c r="C4" s="19" t="s">
        <v>2</v>
      </c>
      <c r="D4" s="20" t="s">
        <v>3</v>
      </c>
      <c r="E4" s="20" t="s">
        <v>4</v>
      </c>
      <c r="F4" s="20" t="s">
        <v>5</v>
      </c>
      <c r="G4" s="21" t="s">
        <v>6</v>
      </c>
    </row>
    <row r="5" spans="2:7" ht="17.399999999999999" thickBot="1" x14ac:dyDescent="0.3">
      <c r="B5" s="110">
        <v>1</v>
      </c>
      <c r="C5" s="110">
        <v>0.01</v>
      </c>
      <c r="D5" s="111">
        <v>0.04</v>
      </c>
      <c r="E5" s="111">
        <v>0.76</v>
      </c>
      <c r="F5" s="111">
        <v>0.1</v>
      </c>
      <c r="G5" s="112">
        <v>0.05</v>
      </c>
    </row>
    <row r="6" spans="2:7" ht="17.399999999999999" thickBot="1" x14ac:dyDescent="0.3">
      <c r="B6" s="110">
        <v>2</v>
      </c>
      <c r="C6" s="110">
        <v>0</v>
      </c>
      <c r="D6" s="111">
        <v>0.03</v>
      </c>
      <c r="E6" s="111">
        <v>0.6</v>
      </c>
      <c r="F6" s="111">
        <v>0.21</v>
      </c>
      <c r="G6" s="112">
        <v>0.04</v>
      </c>
    </row>
    <row r="7" spans="2:7" ht="17.399999999999999" thickBot="1" x14ac:dyDescent="0.3">
      <c r="B7" s="110">
        <v>3</v>
      </c>
      <c r="C7" s="110">
        <v>0.01</v>
      </c>
      <c r="D7" s="111">
        <v>0.02</v>
      </c>
      <c r="E7" s="111">
        <v>0.26</v>
      </c>
      <c r="F7" s="111">
        <v>0.1</v>
      </c>
      <c r="G7" s="112">
        <v>0.01</v>
      </c>
    </row>
    <row r="8" spans="2:7" ht="17.399999999999999" thickBot="1" x14ac:dyDescent="0.3">
      <c r="B8" s="110">
        <v>4</v>
      </c>
      <c r="C8" s="110">
        <v>0.01</v>
      </c>
      <c r="D8" s="111">
        <v>0.01</v>
      </c>
      <c r="E8" s="111">
        <v>0.23</v>
      </c>
      <c r="F8" s="111">
        <v>0.05</v>
      </c>
      <c r="G8" s="112">
        <v>0.01</v>
      </c>
    </row>
    <row r="9" spans="2:7" ht="17.399999999999999" thickBot="1" x14ac:dyDescent="0.3">
      <c r="B9" s="110">
        <v>5</v>
      </c>
      <c r="C9" s="110">
        <v>0.01</v>
      </c>
      <c r="D9" s="111">
        <v>0.02</v>
      </c>
      <c r="E9" s="111">
        <v>0.5</v>
      </c>
      <c r="F9" s="111">
        <v>0.1</v>
      </c>
      <c r="G9" s="112">
        <v>0.03</v>
      </c>
    </row>
    <row r="10" spans="2:7" ht="17.399999999999999" thickBot="1" x14ac:dyDescent="0.3">
      <c r="B10" s="110" t="s">
        <v>85</v>
      </c>
      <c r="C10" s="110">
        <v>0.01</v>
      </c>
      <c r="D10" s="111">
        <v>0.02</v>
      </c>
      <c r="E10" s="111">
        <v>0.79</v>
      </c>
      <c r="F10" s="111">
        <v>0.1</v>
      </c>
      <c r="G10" s="112">
        <v>0.04</v>
      </c>
    </row>
    <row r="11" spans="2:7" ht="17.399999999999999" thickBot="1" x14ac:dyDescent="0.3">
      <c r="B11" s="110" t="s">
        <v>86</v>
      </c>
      <c r="C11" s="110">
        <v>0.01</v>
      </c>
      <c r="D11" s="111">
        <v>0.02</v>
      </c>
      <c r="E11" s="111">
        <v>0.54</v>
      </c>
      <c r="F11" s="111">
        <v>0.15</v>
      </c>
      <c r="G11" s="112">
        <v>0.01</v>
      </c>
    </row>
    <row r="13" spans="2:7" x14ac:dyDescent="0.25">
      <c r="B13" s="10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T23"/>
  <sheetViews>
    <sheetView topLeftCell="B1" zoomScale="85" zoomScaleNormal="85" workbookViewId="0">
      <selection activeCell="F4" sqref="F4"/>
    </sheetView>
  </sheetViews>
  <sheetFormatPr defaultRowHeight="13.8" x14ac:dyDescent="0.25"/>
  <cols>
    <col min="7" max="7" width="11.3984375" customWidth="1"/>
    <col min="8" max="12" width="9" customWidth="1"/>
    <col min="13" max="13" width="15.3984375" bestFit="1" customWidth="1"/>
    <col min="15" max="15" width="9" customWidth="1"/>
  </cols>
  <sheetData>
    <row r="3" spans="6:16" ht="14.4" thickBot="1" x14ac:dyDescent="0.3"/>
    <row r="4" spans="6:16" ht="16.2" thickBot="1" x14ac:dyDescent="0.3">
      <c r="F4" s="93" t="s">
        <v>32</v>
      </c>
      <c r="G4" s="1" t="s">
        <v>2</v>
      </c>
      <c r="H4" s="3" t="s">
        <v>3</v>
      </c>
      <c r="I4" s="3" t="s">
        <v>4</v>
      </c>
      <c r="J4" s="3" t="s">
        <v>5</v>
      </c>
      <c r="K4" s="3" t="s">
        <v>6</v>
      </c>
      <c r="L4" s="3" t="s">
        <v>7</v>
      </c>
      <c r="M4" s="13" t="s">
        <v>21</v>
      </c>
      <c r="N4" s="13" t="s">
        <v>22</v>
      </c>
      <c r="O4" s="23"/>
      <c r="P4" s="13" t="s">
        <v>20</v>
      </c>
    </row>
    <row r="5" spans="6:16" ht="16.2" thickBot="1" x14ac:dyDescent="0.3">
      <c r="F5" s="80">
        <v>1</v>
      </c>
      <c r="G5" s="53">
        <v>1.1499999999999999</v>
      </c>
      <c r="H5" s="54">
        <v>1.85</v>
      </c>
      <c r="I5" s="54">
        <v>1.6</v>
      </c>
      <c r="J5" s="54">
        <v>0.98</v>
      </c>
      <c r="K5" s="54">
        <v>2.06</v>
      </c>
      <c r="L5" s="54">
        <v>1.58</v>
      </c>
      <c r="M5" s="121">
        <f>AVERAGE(G5:L5)</f>
        <v>1.5366666666666668</v>
      </c>
      <c r="N5" s="53">
        <f>H5</f>
        <v>1.85</v>
      </c>
      <c r="O5" s="53">
        <f>(((M5^2)+(H5^2)))/2</f>
        <v>2.8919222222222229</v>
      </c>
      <c r="P5" s="53">
        <f>O5^0.5</f>
        <v>1.7005652654991583</v>
      </c>
    </row>
    <row r="6" spans="6:16" ht="16.2" thickBot="1" x14ac:dyDescent="0.3">
      <c r="F6" s="80">
        <v>2</v>
      </c>
      <c r="G6" s="53">
        <v>0.37</v>
      </c>
      <c r="H6" s="54">
        <v>1.54</v>
      </c>
      <c r="I6" s="54">
        <v>1.18</v>
      </c>
      <c r="J6" s="54">
        <v>1.2</v>
      </c>
      <c r="K6" s="54">
        <v>1.46</v>
      </c>
      <c r="L6" s="54">
        <v>1.2</v>
      </c>
      <c r="M6" s="121">
        <f t="shared" ref="M6:M9" si="0">AVERAGE(G6:L6)</f>
        <v>1.1583333333333334</v>
      </c>
      <c r="N6" s="53">
        <f>H6</f>
        <v>1.54</v>
      </c>
      <c r="O6" s="53">
        <f>(((M6^2)+(H6^2)))/2</f>
        <v>1.8566680555555557</v>
      </c>
      <c r="P6" s="53">
        <f t="shared" ref="P6:P9" si="1">O6^0.5</f>
        <v>1.362596072046135</v>
      </c>
    </row>
    <row r="7" spans="6:16" ht="16.2" thickBot="1" x14ac:dyDescent="0.3">
      <c r="F7" s="80">
        <v>3</v>
      </c>
      <c r="G7" s="53">
        <v>0.97</v>
      </c>
      <c r="H7" s="54">
        <v>0.86</v>
      </c>
      <c r="I7" s="54">
        <v>0.44</v>
      </c>
      <c r="J7" s="54">
        <v>0.78</v>
      </c>
      <c r="K7" s="54">
        <v>0.51</v>
      </c>
      <c r="L7" s="54">
        <v>0.68</v>
      </c>
      <c r="M7" s="121">
        <f t="shared" si="0"/>
        <v>0.70666666666666655</v>
      </c>
      <c r="N7" s="53">
        <f>G7</f>
        <v>0.97</v>
      </c>
      <c r="O7" s="53">
        <f>(((M7^2)+(G7^2)))/2</f>
        <v>0.72013888888888877</v>
      </c>
      <c r="P7" s="53">
        <f t="shared" si="1"/>
        <v>0.84860997454006437</v>
      </c>
    </row>
    <row r="8" spans="6:16" ht="16.2" thickBot="1" x14ac:dyDescent="0.3">
      <c r="F8" s="80">
        <v>4</v>
      </c>
      <c r="G8" s="53">
        <v>0.96</v>
      </c>
      <c r="H8" s="54">
        <v>1.23</v>
      </c>
      <c r="I8" s="54">
        <v>0.88</v>
      </c>
      <c r="J8" s="54">
        <v>0.84</v>
      </c>
      <c r="K8" s="54">
        <v>1.21</v>
      </c>
      <c r="L8" s="54">
        <v>1.33</v>
      </c>
      <c r="M8" s="121">
        <f t="shared" si="0"/>
        <v>1.075</v>
      </c>
      <c r="N8" s="53">
        <f>L8</f>
        <v>1.33</v>
      </c>
      <c r="O8" s="53">
        <f>(((M8^2)+(L8^2)))/2</f>
        <v>1.4622625</v>
      </c>
      <c r="P8" s="53">
        <f t="shared" si="1"/>
        <v>1.2092404640930603</v>
      </c>
    </row>
    <row r="9" spans="6:16" ht="16.2" thickBot="1" x14ac:dyDescent="0.3">
      <c r="F9" s="80">
        <v>5</v>
      </c>
      <c r="G9" s="53">
        <v>1.01</v>
      </c>
      <c r="H9" s="54">
        <v>1.1499999999999999</v>
      </c>
      <c r="I9" s="54">
        <v>0.82</v>
      </c>
      <c r="J9" s="54">
        <v>0.85</v>
      </c>
      <c r="K9" s="54">
        <v>1.41</v>
      </c>
      <c r="L9" s="54">
        <v>1.25</v>
      </c>
      <c r="M9" s="121">
        <f t="shared" si="0"/>
        <v>1.0816666666666668</v>
      </c>
      <c r="N9" s="53">
        <f>K9</f>
        <v>1.41</v>
      </c>
      <c r="O9" s="53">
        <f>(((M9^2)+(K9^2)))/2</f>
        <v>1.5790513888888889</v>
      </c>
      <c r="P9" s="53">
        <f t="shared" si="1"/>
        <v>1.2566031151039252</v>
      </c>
    </row>
    <row r="10" spans="6:16" ht="16.2" thickBot="1" x14ac:dyDescent="0.3">
      <c r="F10" s="13" t="s">
        <v>21</v>
      </c>
      <c r="G10" s="54">
        <f>AVERAGE(G5:G9)</f>
        <v>0.89200000000000002</v>
      </c>
      <c r="H10" s="54">
        <f t="shared" ref="H10:M10" si="2">AVERAGE(H5:H9)</f>
        <v>1.3260000000000001</v>
      </c>
      <c r="I10" s="54">
        <f t="shared" si="2"/>
        <v>0.98400000000000021</v>
      </c>
      <c r="J10" s="54">
        <f t="shared" si="2"/>
        <v>0.92999999999999994</v>
      </c>
      <c r="K10" s="54">
        <f t="shared" si="2"/>
        <v>1.33</v>
      </c>
      <c r="L10" s="54">
        <f t="shared" si="2"/>
        <v>1.2080000000000002</v>
      </c>
      <c r="M10">
        <f t="shared" si="2"/>
        <v>1.1116666666666668</v>
      </c>
    </row>
    <row r="11" spans="6:16" ht="16.2" thickBot="1" x14ac:dyDescent="0.3">
      <c r="G11" s="54">
        <f>(((G10^2)+(G5^2)))/2</f>
        <v>1.0590819999999999</v>
      </c>
      <c r="H11" s="54">
        <f>(((H10^2)+(H5^2)))/2</f>
        <v>2.5903880000000004</v>
      </c>
      <c r="I11" s="54">
        <f>(((I10^2)+(I5^2)))/2</f>
        <v>1.7641280000000004</v>
      </c>
      <c r="J11" s="54">
        <f>(((J10^2)+(J6^2)))/2</f>
        <v>1.15245</v>
      </c>
      <c r="K11" s="54">
        <f>(((K10^2)+(K5^2)))/2</f>
        <v>3.0062500000000001</v>
      </c>
      <c r="L11" s="54">
        <f>(((L10^2)+(L5^2)))/2</f>
        <v>1.9778320000000003</v>
      </c>
    </row>
    <row r="12" spans="6:16" ht="16.8" customHeight="1" thickBot="1" x14ac:dyDescent="0.3">
      <c r="F12" s="13" t="s">
        <v>20</v>
      </c>
      <c r="G12" s="54">
        <f t="shared" ref="G12:M12" si="3">G11^0.5</f>
        <v>1.0291170973217769</v>
      </c>
      <c r="H12" s="54">
        <f t="shared" si="3"/>
        <v>1.6094682351634033</v>
      </c>
      <c r="I12" s="54">
        <f t="shared" si="3"/>
        <v>1.328204803484764</v>
      </c>
      <c r="J12" s="54">
        <f t="shared" si="3"/>
        <v>1.0735222401049733</v>
      </c>
      <c r="K12" s="54">
        <f t="shared" si="3"/>
        <v>1.7338540884399702</v>
      </c>
      <c r="L12" s="54">
        <f t="shared" si="3"/>
        <v>1.4063541516986395</v>
      </c>
      <c r="M12" s="4">
        <f t="shared" si="3"/>
        <v>0</v>
      </c>
    </row>
    <row r="16" spans="6:16" ht="14.4" thickBot="1" x14ac:dyDescent="0.3"/>
    <row r="17" spans="6:20" ht="16.2" thickBot="1" x14ac:dyDescent="0.3">
      <c r="F17" s="93" t="s">
        <v>32</v>
      </c>
      <c r="G17" s="1" t="s">
        <v>2</v>
      </c>
      <c r="H17" s="3" t="s">
        <v>3</v>
      </c>
      <c r="I17" s="3" t="s">
        <v>4</v>
      </c>
      <c r="J17" s="3" t="s">
        <v>5</v>
      </c>
      <c r="K17" s="3" t="s">
        <v>6</v>
      </c>
      <c r="L17" s="3" t="s">
        <v>7</v>
      </c>
    </row>
    <row r="18" spans="6:20" ht="16.2" thickBot="1" x14ac:dyDescent="0.3">
      <c r="F18" s="53">
        <v>1</v>
      </c>
      <c r="G18" s="53">
        <v>0.78</v>
      </c>
      <c r="H18" s="53">
        <v>1.79</v>
      </c>
      <c r="I18" s="53">
        <v>3.47</v>
      </c>
      <c r="J18" s="53">
        <v>1.31</v>
      </c>
      <c r="K18" s="53">
        <v>5.76</v>
      </c>
      <c r="L18" s="53">
        <v>9.06</v>
      </c>
      <c r="N18" s="53">
        <v>1</v>
      </c>
      <c r="O18" s="53">
        <v>0.78</v>
      </c>
      <c r="P18" s="53">
        <v>1.79</v>
      </c>
      <c r="Q18" s="53">
        <v>3.47</v>
      </c>
      <c r="R18" s="53">
        <v>1.31</v>
      </c>
      <c r="S18" s="53">
        <v>5.76</v>
      </c>
      <c r="T18" s="53">
        <v>9.06</v>
      </c>
    </row>
    <row r="19" spans="6:20" ht="16.2" thickBot="1" x14ac:dyDescent="0.3">
      <c r="F19" s="53">
        <v>2</v>
      </c>
      <c r="G19" s="53">
        <v>0.25</v>
      </c>
      <c r="H19" s="53">
        <v>1.49</v>
      </c>
      <c r="I19" s="53">
        <v>2.56</v>
      </c>
      <c r="J19" s="53">
        <v>1.61</v>
      </c>
      <c r="K19" s="53">
        <v>4.07</v>
      </c>
      <c r="L19" s="53">
        <v>6.91</v>
      </c>
      <c r="N19" s="53">
        <v>2</v>
      </c>
      <c r="O19" s="53">
        <v>0.25</v>
      </c>
      <c r="P19" s="53">
        <v>1.49</v>
      </c>
      <c r="Q19" s="53">
        <v>2.56</v>
      </c>
      <c r="R19" s="53">
        <v>1.61</v>
      </c>
      <c r="S19" s="53">
        <v>4.07</v>
      </c>
      <c r="T19" s="53">
        <v>6.91</v>
      </c>
    </row>
    <row r="20" spans="6:20" ht="16.2" thickBot="1" x14ac:dyDescent="0.3">
      <c r="F20" s="53">
        <v>3</v>
      </c>
      <c r="G20" s="53">
        <v>0.66</v>
      </c>
      <c r="H20" s="53">
        <v>0.83</v>
      </c>
      <c r="I20" s="53">
        <v>0.95</v>
      </c>
      <c r="J20" s="53">
        <v>1.04</v>
      </c>
      <c r="K20" s="53">
        <v>1.42</v>
      </c>
      <c r="L20" s="53">
        <v>3.9</v>
      </c>
      <c r="N20" s="53">
        <v>3</v>
      </c>
      <c r="O20" s="53">
        <v>0.66</v>
      </c>
      <c r="P20" s="53">
        <v>0.83</v>
      </c>
      <c r="Q20" s="53">
        <v>0.95</v>
      </c>
      <c r="R20" s="53">
        <v>1.04</v>
      </c>
      <c r="S20" s="53">
        <v>1.42</v>
      </c>
      <c r="T20" s="53">
        <v>3.9</v>
      </c>
    </row>
    <row r="21" spans="6:20" ht="16.2" thickBot="1" x14ac:dyDescent="0.3">
      <c r="F21" s="53">
        <v>4</v>
      </c>
      <c r="G21" s="53">
        <v>0.65</v>
      </c>
      <c r="H21" s="53">
        <v>1.19</v>
      </c>
      <c r="I21" s="53">
        <v>1.92</v>
      </c>
      <c r="J21" s="53">
        <v>1.1299999999999999</v>
      </c>
      <c r="K21" s="53">
        <v>3.38</v>
      </c>
      <c r="L21" s="53">
        <v>7.61</v>
      </c>
      <c r="N21" s="53">
        <v>4</v>
      </c>
      <c r="O21" s="53">
        <v>0.65</v>
      </c>
      <c r="P21" s="53">
        <v>1.19</v>
      </c>
      <c r="Q21" s="53">
        <v>1.92</v>
      </c>
      <c r="R21" s="53">
        <v>1.1299999999999999</v>
      </c>
      <c r="S21" s="53">
        <v>3.38</v>
      </c>
      <c r="T21" s="53">
        <v>7.61</v>
      </c>
    </row>
    <row r="22" spans="6:20" ht="16.2" thickBot="1" x14ac:dyDescent="0.3">
      <c r="F22" s="53">
        <v>5</v>
      </c>
      <c r="G22" s="53">
        <v>0.69</v>
      </c>
      <c r="H22" s="53">
        <v>1.1200000000000001</v>
      </c>
      <c r="I22" s="53">
        <v>1.79</v>
      </c>
      <c r="J22" s="53">
        <v>1.1399999999999999</v>
      </c>
      <c r="K22" s="53">
        <v>3.94</v>
      </c>
      <c r="L22" s="53">
        <v>7.15</v>
      </c>
      <c r="N22" s="53">
        <v>5</v>
      </c>
      <c r="O22" s="53">
        <v>0.69</v>
      </c>
      <c r="P22" s="53">
        <v>1.1200000000000001</v>
      </c>
      <c r="Q22" s="53">
        <v>1.79</v>
      </c>
      <c r="R22" s="53">
        <v>1.1399999999999999</v>
      </c>
      <c r="S22" s="53">
        <v>3.94</v>
      </c>
      <c r="T22" s="53">
        <v>7.15</v>
      </c>
    </row>
    <row r="23" spans="6:20" ht="16.2" thickBot="1" x14ac:dyDescent="0.3">
      <c r="F23" s="93" t="s">
        <v>87</v>
      </c>
      <c r="G23" s="53">
        <v>0.68</v>
      </c>
      <c r="H23" s="53">
        <v>0.97</v>
      </c>
      <c r="I23" s="53">
        <v>2.17</v>
      </c>
      <c r="J23" s="53">
        <v>1.34</v>
      </c>
      <c r="K23" s="53">
        <v>2.79</v>
      </c>
      <c r="L23" s="53">
        <v>5.74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U15"/>
  <sheetViews>
    <sheetView zoomScale="85" zoomScaleNormal="85" workbookViewId="0">
      <selection activeCell="F17" sqref="F17"/>
    </sheetView>
  </sheetViews>
  <sheetFormatPr defaultRowHeight="13.8" x14ac:dyDescent="0.25"/>
  <sheetData>
    <row r="2" spans="3:21" ht="14.4" thickBot="1" x14ac:dyDescent="0.3"/>
    <row r="3" spans="3:21" ht="25.2" thickBot="1" x14ac:dyDescent="0.3">
      <c r="C3" s="2" t="s">
        <v>0</v>
      </c>
      <c r="D3" s="1" t="s">
        <v>2</v>
      </c>
      <c r="E3" s="3" t="s">
        <v>3</v>
      </c>
      <c r="F3" s="3" t="s">
        <v>4</v>
      </c>
      <c r="G3" s="3" t="s">
        <v>5</v>
      </c>
      <c r="H3" s="3" t="s">
        <v>6</v>
      </c>
      <c r="K3" t="str">
        <f>C3</f>
        <v>ایستگاه</v>
      </c>
      <c r="L3" t="str">
        <f t="shared" ref="L3:P3" si="0">D3</f>
        <v>Pb</v>
      </c>
      <c r="M3" t="str">
        <f t="shared" si="0"/>
        <v>Cu</v>
      </c>
      <c r="N3" t="str">
        <f t="shared" si="0"/>
        <v>Ni</v>
      </c>
      <c r="O3" t="str">
        <f t="shared" si="0"/>
        <v>Cd</v>
      </c>
      <c r="P3" t="str">
        <f t="shared" si="0"/>
        <v>Zn</v>
      </c>
    </row>
    <row r="4" spans="3:21" ht="24.75" customHeight="1" x14ac:dyDescent="0.25">
      <c r="C4" s="39" t="s">
        <v>17</v>
      </c>
      <c r="D4" s="39"/>
      <c r="E4" s="39"/>
      <c r="F4" s="39"/>
      <c r="G4" s="39"/>
      <c r="H4" s="40"/>
      <c r="K4" s="41" t="str">
        <f>C4</f>
        <v>mg/kg</v>
      </c>
      <c r="L4" s="41"/>
      <c r="M4" s="41"/>
      <c r="N4" s="41"/>
      <c r="O4" s="41"/>
      <c r="P4" s="41"/>
      <c r="Q4" t="s">
        <v>36</v>
      </c>
      <c r="S4" t="str">
        <f>K3</f>
        <v>ایستگاه</v>
      </c>
      <c r="T4" t="str">
        <f>Q4</f>
        <v>QTEL</v>
      </c>
      <c r="U4" t="s">
        <v>37</v>
      </c>
    </row>
    <row r="5" spans="3:21" ht="23.4" thickBot="1" x14ac:dyDescent="0.3">
      <c r="C5" s="5">
        <v>1</v>
      </c>
      <c r="D5" s="6">
        <v>1.5832666666666668</v>
      </c>
      <c r="E5" s="6">
        <v>3.8607999999999998</v>
      </c>
      <c r="F5" s="6">
        <v>6.3584666666666658</v>
      </c>
      <c r="G5" s="6">
        <v>2.1674666666666669</v>
      </c>
      <c r="H5" s="6">
        <v>12.793133333333335</v>
      </c>
      <c r="K5" s="14">
        <v>1</v>
      </c>
      <c r="L5" s="122">
        <f>D5/2.3</f>
        <v>0.68837681159420305</v>
      </c>
      <c r="M5" s="122">
        <f>E5/7.18</f>
        <v>0.53771587743732585</v>
      </c>
      <c r="N5" s="122">
        <f>F5/9.15</f>
        <v>0.6949143897996356</v>
      </c>
      <c r="O5" s="122">
        <f>G5/68</f>
        <v>3.187450980392157E-2</v>
      </c>
      <c r="P5" s="122">
        <f>H5/124</f>
        <v>0.1031704301075269</v>
      </c>
      <c r="Q5" s="122">
        <f>SUM(L5:P5)</f>
        <v>2.056052018742613</v>
      </c>
      <c r="S5" s="27">
        <f>K5</f>
        <v>1</v>
      </c>
      <c r="T5" s="4">
        <f>Q5</f>
        <v>2.056052018742613</v>
      </c>
    </row>
    <row r="6" spans="3:21" ht="23.4" thickBot="1" x14ac:dyDescent="0.3">
      <c r="C6" s="7">
        <v>2</v>
      </c>
      <c r="D6" s="8">
        <v>0.53339999999999999</v>
      </c>
      <c r="E6" s="8">
        <v>2.9379333333333335</v>
      </c>
      <c r="F6" s="8">
        <v>5.0884666666666662</v>
      </c>
      <c r="G6" s="8">
        <v>4.4958</v>
      </c>
      <c r="H6" s="8">
        <v>9.575800000000001</v>
      </c>
      <c r="K6" s="14">
        <v>2</v>
      </c>
      <c r="L6" s="122">
        <f t="shared" ref="L6:L11" si="1">D6/2.3</f>
        <v>0.23191304347826089</v>
      </c>
      <c r="M6" s="122">
        <f t="shared" ref="M6:M11" si="2">E6/7.18</f>
        <v>0.40918291550603531</v>
      </c>
      <c r="N6" s="122">
        <f t="shared" ref="N6:N11" si="3">F6/9.15</f>
        <v>0.55611657559198535</v>
      </c>
      <c r="O6" s="122">
        <f t="shared" ref="O6:O11" si="4">G6/68</f>
        <v>6.6114705882352937E-2</v>
      </c>
      <c r="P6" s="122">
        <f t="shared" ref="P6:P11" si="5">H6/124</f>
        <v>7.722419354838711E-2</v>
      </c>
      <c r="Q6" s="122">
        <f t="shared" ref="Q6:Q11" si="6">SUM(L6:P6)</f>
        <v>1.3405514340070215</v>
      </c>
      <c r="S6" s="27">
        <f t="shared" ref="S6:S11" si="7">K6</f>
        <v>2</v>
      </c>
      <c r="T6" s="4">
        <f t="shared" ref="T6:T11" si="8">Q6</f>
        <v>1.3405514340070215</v>
      </c>
    </row>
    <row r="7" spans="3:21" ht="23.4" thickBot="1" x14ac:dyDescent="0.3">
      <c r="C7" s="7">
        <v>3</v>
      </c>
      <c r="D7" s="8">
        <v>1.4224000000000003</v>
      </c>
      <c r="E7" s="8">
        <v>1.6594666666666666</v>
      </c>
      <c r="F7" s="8">
        <v>2.1844000000000001</v>
      </c>
      <c r="G7" s="8">
        <v>2.1759333333333331</v>
      </c>
      <c r="H7" s="8">
        <v>2.9633333333333334</v>
      </c>
      <c r="K7" s="14">
        <f t="shared" ref="K7:K11" si="9">C7</f>
        <v>3</v>
      </c>
      <c r="L7" s="122">
        <f t="shared" si="1"/>
        <v>0.61843478260869589</v>
      </c>
      <c r="M7" s="122">
        <f t="shared" si="2"/>
        <v>0.2311234911792015</v>
      </c>
      <c r="N7" s="122">
        <f t="shared" si="3"/>
        <v>0.23873224043715846</v>
      </c>
      <c r="O7" s="122">
        <f t="shared" si="4"/>
        <v>3.1999019607843134E-2</v>
      </c>
      <c r="P7" s="122">
        <f t="shared" si="5"/>
        <v>2.3897849462365593E-2</v>
      </c>
      <c r="Q7" s="122">
        <f t="shared" si="6"/>
        <v>1.1441873832952647</v>
      </c>
      <c r="S7" s="27">
        <f t="shared" si="7"/>
        <v>3</v>
      </c>
      <c r="T7" s="4">
        <f t="shared" si="8"/>
        <v>1.1441873832952647</v>
      </c>
    </row>
    <row r="8" spans="3:21" ht="23.4" thickBot="1" x14ac:dyDescent="0.3">
      <c r="C8" s="7">
        <v>4</v>
      </c>
      <c r="D8" s="8">
        <v>0.64666666666666661</v>
      </c>
      <c r="E8" s="8">
        <v>1.1883333333333335</v>
      </c>
      <c r="F8" s="8">
        <v>1.9150000000000003</v>
      </c>
      <c r="G8" s="8">
        <v>1.1283333333333334</v>
      </c>
      <c r="H8" s="8">
        <v>3.3783333333333339</v>
      </c>
      <c r="K8" s="14">
        <f t="shared" si="9"/>
        <v>4</v>
      </c>
      <c r="L8" s="122">
        <f t="shared" si="1"/>
        <v>0.28115942028985508</v>
      </c>
      <c r="M8" s="122">
        <f t="shared" si="2"/>
        <v>0.16550603528319408</v>
      </c>
      <c r="N8" s="122">
        <f t="shared" si="3"/>
        <v>0.20928961748633881</v>
      </c>
      <c r="O8" s="122">
        <f t="shared" si="4"/>
        <v>1.6593137254901962E-2</v>
      </c>
      <c r="P8" s="122">
        <f t="shared" si="5"/>
        <v>2.7244623655913982E-2</v>
      </c>
      <c r="Q8" s="122">
        <f t="shared" si="6"/>
        <v>0.69979283397020386</v>
      </c>
      <c r="S8" s="27">
        <f t="shared" si="7"/>
        <v>4</v>
      </c>
      <c r="T8" s="4">
        <f t="shared" si="8"/>
        <v>0.69979283397020386</v>
      </c>
    </row>
    <row r="9" spans="3:21" ht="23.4" thickBot="1" x14ac:dyDescent="0.3">
      <c r="C9" s="7">
        <v>5</v>
      </c>
      <c r="D9" s="8">
        <v>1.4562666666666668</v>
      </c>
      <c r="E9" s="8">
        <v>2.6246666666666667</v>
      </c>
      <c r="F9" s="8">
        <v>4.2164000000000001</v>
      </c>
      <c r="G9" s="8">
        <v>2.0912666666666664</v>
      </c>
      <c r="H9" s="8">
        <v>9.4572666666666674</v>
      </c>
      <c r="K9" s="14">
        <f t="shared" si="9"/>
        <v>5</v>
      </c>
      <c r="L9" s="122">
        <f t="shared" si="1"/>
        <v>0.63315942028985517</v>
      </c>
      <c r="M9" s="122">
        <f t="shared" si="2"/>
        <v>0.36555246053853296</v>
      </c>
      <c r="N9" s="122">
        <f t="shared" si="3"/>
        <v>0.4608087431693989</v>
      </c>
      <c r="O9" s="122">
        <f t="shared" si="4"/>
        <v>3.0753921568627447E-2</v>
      </c>
      <c r="P9" s="122">
        <f t="shared" si="5"/>
        <v>7.6268279569892475E-2</v>
      </c>
      <c r="Q9" s="122">
        <f t="shared" si="6"/>
        <v>1.5665428251363072</v>
      </c>
      <c r="S9" s="27">
        <f t="shared" si="7"/>
        <v>5</v>
      </c>
      <c r="T9" s="4">
        <f t="shared" si="8"/>
        <v>1.5665428251363072</v>
      </c>
    </row>
    <row r="10" spans="3:21" ht="23.4" thickBot="1" x14ac:dyDescent="0.3">
      <c r="C10" s="10" t="s">
        <v>15</v>
      </c>
      <c r="D10" s="8">
        <v>1.3461999999999998</v>
      </c>
      <c r="E10" s="8">
        <v>2.2182666666666671</v>
      </c>
      <c r="F10" s="8">
        <v>6.6378666666666666</v>
      </c>
      <c r="G10" s="8">
        <v>2.1505333333333332</v>
      </c>
      <c r="H10" s="8">
        <v>11.108266666666665</v>
      </c>
      <c r="K10" s="12" t="str">
        <f t="shared" si="9"/>
        <v>شاهد 1</v>
      </c>
      <c r="L10" s="122">
        <f t="shared" si="1"/>
        <v>0.58530434782608698</v>
      </c>
      <c r="M10" s="122">
        <f t="shared" si="2"/>
        <v>0.30895078922934083</v>
      </c>
      <c r="N10" s="122">
        <f t="shared" si="3"/>
        <v>0.72544990892531869</v>
      </c>
      <c r="O10" s="122">
        <f t="shared" si="4"/>
        <v>3.162549019607843E-2</v>
      </c>
      <c r="P10" s="122">
        <f t="shared" si="5"/>
        <v>8.9582795698924716E-2</v>
      </c>
      <c r="Q10" s="122">
        <f t="shared" si="6"/>
        <v>1.7409133318757497</v>
      </c>
      <c r="S10" s="27" t="str">
        <f t="shared" si="7"/>
        <v>شاهد 1</v>
      </c>
      <c r="T10" s="4">
        <f t="shared" si="8"/>
        <v>1.7409133318757497</v>
      </c>
    </row>
    <row r="11" spans="3:21" ht="21.75" customHeight="1" thickBot="1" x14ac:dyDescent="0.3">
      <c r="C11" s="9" t="s">
        <v>16</v>
      </c>
      <c r="D11" s="6">
        <v>1.524</v>
      </c>
      <c r="E11" s="6">
        <v>1.7695333333333334</v>
      </c>
      <c r="F11" s="6">
        <v>4.5550666666666677</v>
      </c>
      <c r="G11" s="6">
        <v>3.2173333333333334</v>
      </c>
      <c r="H11" s="6">
        <v>3.7591999999999994</v>
      </c>
      <c r="K11" s="12" t="str">
        <f t="shared" si="9"/>
        <v>شاهد 2</v>
      </c>
      <c r="L11" s="122">
        <f t="shared" si="1"/>
        <v>0.66260869565217395</v>
      </c>
      <c r="M11" s="122">
        <f t="shared" si="2"/>
        <v>0.24645311049210772</v>
      </c>
      <c r="N11" s="122">
        <f t="shared" si="3"/>
        <v>0.4978214936247724</v>
      </c>
      <c r="O11" s="122">
        <f t="shared" si="4"/>
        <v>4.7313725490196079E-2</v>
      </c>
      <c r="P11" s="122">
        <f t="shared" si="5"/>
        <v>3.0316129032258061E-2</v>
      </c>
      <c r="Q11" s="122">
        <f t="shared" si="6"/>
        <v>1.4845131542915082</v>
      </c>
      <c r="S11" s="27" t="str">
        <f t="shared" si="7"/>
        <v>شاهد 2</v>
      </c>
      <c r="T11" s="4">
        <f t="shared" si="8"/>
        <v>1.4845131542915082</v>
      </c>
    </row>
    <row r="15" spans="3:21" ht="18.600000000000001" x14ac:dyDescent="0.65">
      <c r="I15" s="11"/>
    </row>
  </sheetData>
  <mergeCells count="2">
    <mergeCell ref="C4:H4"/>
    <mergeCell ref="K4:P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T14"/>
  <sheetViews>
    <sheetView zoomScale="55" zoomScaleNormal="55" workbookViewId="0">
      <selection activeCell="J3" sqref="J3:J11"/>
    </sheetView>
  </sheetViews>
  <sheetFormatPr defaultRowHeight="13.8" x14ac:dyDescent="0.25"/>
  <cols>
    <col min="9" max="9" width="10.19921875" customWidth="1"/>
    <col min="20" max="20" width="10.3984375" bestFit="1" customWidth="1"/>
  </cols>
  <sheetData>
    <row r="2" spans="3:20" ht="14.4" thickBot="1" x14ac:dyDescent="0.3"/>
    <row r="3" spans="3:20" ht="23.4" thickBot="1" x14ac:dyDescent="0.3">
      <c r="C3" s="22" t="s">
        <v>84</v>
      </c>
      <c r="D3" s="1" t="s">
        <v>2</v>
      </c>
      <c r="E3" s="3" t="s">
        <v>3</v>
      </c>
      <c r="F3" s="3" t="s">
        <v>4</v>
      </c>
      <c r="G3" s="3" t="s">
        <v>5</v>
      </c>
      <c r="H3" s="3" t="s">
        <v>6</v>
      </c>
      <c r="K3" t="str">
        <f t="shared" ref="K3:O3" si="0">D3</f>
        <v>Pb</v>
      </c>
      <c r="L3" t="str">
        <f t="shared" si="0"/>
        <v>Cu</v>
      </c>
      <c r="M3" t="str">
        <f t="shared" si="0"/>
        <v>Ni</v>
      </c>
      <c r="N3" t="str">
        <f t="shared" si="0"/>
        <v>Cd</v>
      </c>
      <c r="O3" t="str">
        <f t="shared" si="0"/>
        <v>Zn</v>
      </c>
    </row>
    <row r="4" spans="3:20" ht="15.6" x14ac:dyDescent="0.25">
      <c r="C4" s="39" t="s">
        <v>17</v>
      </c>
      <c r="D4" s="39"/>
      <c r="E4" s="39"/>
      <c r="F4" s="39"/>
      <c r="G4" s="39"/>
      <c r="H4" s="40"/>
      <c r="L4" t="str">
        <f>C4</f>
        <v>mg/kg</v>
      </c>
      <c r="P4" t="s">
        <v>35</v>
      </c>
      <c r="S4" s="25" t="str">
        <f>tu!AH14</f>
        <v>Station</v>
      </c>
      <c r="T4" s="25" t="s">
        <v>35</v>
      </c>
    </row>
    <row r="5" spans="3:20" ht="17.399999999999999" thickBot="1" x14ac:dyDescent="0.3">
      <c r="C5" s="110">
        <v>1</v>
      </c>
      <c r="D5" s="6">
        <v>1.5832666666666668</v>
      </c>
      <c r="E5" s="6">
        <v>3.8607999999999998</v>
      </c>
      <c r="F5" s="6">
        <v>6.3584666666666658</v>
      </c>
      <c r="G5" s="6">
        <v>2.1674666666666669</v>
      </c>
      <c r="H5" s="6">
        <v>12.793133333333335</v>
      </c>
      <c r="K5" s="122">
        <f>D5/112</f>
        <v>1.4136309523809525E-2</v>
      </c>
      <c r="L5" s="6">
        <f>E5/108</f>
        <v>3.5748148148148147E-2</v>
      </c>
      <c r="M5" s="6">
        <f>F5/8.42</f>
        <v>0.75516231195566108</v>
      </c>
      <c r="N5" s="6">
        <f>G5/21.4</f>
        <v>0.10128348909657323</v>
      </c>
      <c r="O5" s="6">
        <f>H5/271</f>
        <v>4.7207134071340723E-2</v>
      </c>
      <c r="P5" s="6">
        <f>SUM(K5:O5)</f>
        <v>0.95353739279553273</v>
      </c>
      <c r="S5" s="25">
        <f>tu!AH16</f>
        <v>1</v>
      </c>
      <c r="T5" s="26">
        <v>0.95353739279553273</v>
      </c>
    </row>
    <row r="6" spans="3:20" ht="17.399999999999999" thickBot="1" x14ac:dyDescent="0.3">
      <c r="C6" s="110">
        <v>2</v>
      </c>
      <c r="D6" s="8">
        <v>0.53339999999999999</v>
      </c>
      <c r="E6" s="8">
        <v>2.9379333333333335</v>
      </c>
      <c r="F6" s="8">
        <v>5.0884666666666662</v>
      </c>
      <c r="G6" s="8">
        <v>4.4958</v>
      </c>
      <c r="H6" s="8">
        <v>9.575800000000001</v>
      </c>
      <c r="K6" s="122">
        <f t="shared" ref="K6:K11" si="1">D6/112</f>
        <v>4.7625000000000002E-3</v>
      </c>
      <c r="L6" s="6">
        <f t="shared" ref="L6:L11" si="2">E6/108</f>
        <v>2.7203086419753088E-2</v>
      </c>
      <c r="M6" s="6">
        <f t="shared" ref="M6:M11" si="3">F6/8.42</f>
        <v>0.60433095803642123</v>
      </c>
      <c r="N6" s="6">
        <f t="shared" ref="N6:N11" si="4">G6/21.4</f>
        <v>0.21008411214953274</v>
      </c>
      <c r="O6" s="6">
        <f t="shared" ref="O6:O11" si="5">H6/271</f>
        <v>3.5335055350553507E-2</v>
      </c>
      <c r="P6" s="6">
        <f t="shared" ref="P6:P11" si="6">SUM(K6:O6)</f>
        <v>0.88171571195626053</v>
      </c>
      <c r="S6" s="25">
        <f>tu!AH17</f>
        <v>2</v>
      </c>
      <c r="T6" s="26">
        <v>0.88171571195626053</v>
      </c>
    </row>
    <row r="7" spans="3:20" ht="17.399999999999999" thickBot="1" x14ac:dyDescent="0.3">
      <c r="C7" s="110">
        <v>3</v>
      </c>
      <c r="D7" s="8">
        <v>1.4224000000000003</v>
      </c>
      <c r="E7" s="8">
        <v>1.6594666666666666</v>
      </c>
      <c r="F7" s="8">
        <v>2.1844000000000001</v>
      </c>
      <c r="G7" s="8">
        <v>2.1759333333333331</v>
      </c>
      <c r="H7" s="8">
        <v>2.9633333333333334</v>
      </c>
      <c r="K7" s="122">
        <f t="shared" si="1"/>
        <v>1.2700000000000003E-2</v>
      </c>
      <c r="L7" s="6">
        <f t="shared" si="2"/>
        <v>1.5365432098765432E-2</v>
      </c>
      <c r="M7" s="6">
        <f t="shared" si="3"/>
        <v>0.25942992874109266</v>
      </c>
      <c r="N7" s="6">
        <f t="shared" si="4"/>
        <v>0.10167912772585669</v>
      </c>
      <c r="O7" s="6">
        <f t="shared" si="5"/>
        <v>1.0934809348093481E-2</v>
      </c>
      <c r="P7" s="6">
        <f t="shared" si="6"/>
        <v>0.40010929791380828</v>
      </c>
      <c r="S7" s="25">
        <f>tu!AH18</f>
        <v>3</v>
      </c>
      <c r="T7" s="26">
        <v>0.40010929791380828</v>
      </c>
    </row>
    <row r="8" spans="3:20" ht="17.399999999999999" thickBot="1" x14ac:dyDescent="0.3">
      <c r="C8" s="110">
        <v>4</v>
      </c>
      <c r="D8" s="8">
        <v>0.64666666666666661</v>
      </c>
      <c r="E8" s="8">
        <v>1.1883333333333335</v>
      </c>
      <c r="F8" s="8">
        <v>1.9150000000000003</v>
      </c>
      <c r="G8" s="8">
        <v>1.1283333333333334</v>
      </c>
      <c r="H8" s="8">
        <v>3.3783333333333339</v>
      </c>
      <c r="K8" s="122">
        <f t="shared" si="1"/>
        <v>5.7738095238095231E-3</v>
      </c>
      <c r="L8" s="6">
        <f t="shared" si="2"/>
        <v>1.1003086419753087E-2</v>
      </c>
      <c r="M8" s="6">
        <f t="shared" si="3"/>
        <v>0.2274346793349169</v>
      </c>
      <c r="N8" s="6">
        <f t="shared" si="4"/>
        <v>5.2725856697819325E-2</v>
      </c>
      <c r="O8" s="6">
        <f t="shared" si="5"/>
        <v>1.2466174661746619E-2</v>
      </c>
      <c r="P8" s="6">
        <f t="shared" si="6"/>
        <v>0.30940360663804545</v>
      </c>
      <c r="S8" s="25">
        <f>tu!AH19</f>
        <v>4</v>
      </c>
      <c r="T8" s="26">
        <v>0.30940360663804545</v>
      </c>
    </row>
    <row r="9" spans="3:20" ht="17.399999999999999" thickBot="1" x14ac:dyDescent="0.3">
      <c r="C9" s="110">
        <v>5</v>
      </c>
      <c r="D9" s="8">
        <v>1.4562666666666668</v>
      </c>
      <c r="E9" s="8">
        <v>2.6246666666666667</v>
      </c>
      <c r="F9" s="8">
        <v>4.2164000000000001</v>
      </c>
      <c r="G9" s="8">
        <v>2.0912666666666664</v>
      </c>
      <c r="H9" s="8">
        <v>9.4572666666666674</v>
      </c>
      <c r="K9" s="122">
        <f>D9/112</f>
        <v>1.3002380952380954E-2</v>
      </c>
      <c r="L9" s="6">
        <f t="shared" si="2"/>
        <v>2.430246913580247E-2</v>
      </c>
      <c r="M9" s="6">
        <f t="shared" si="3"/>
        <v>0.50076009501187646</v>
      </c>
      <c r="N9" s="6">
        <f t="shared" si="4"/>
        <v>9.7722741433021801E-2</v>
      </c>
      <c r="O9" s="6">
        <f t="shared" si="5"/>
        <v>3.4897662976629766E-2</v>
      </c>
      <c r="P9" s="6">
        <f t="shared" si="6"/>
        <v>0.67068534950971148</v>
      </c>
      <c r="S9" s="25">
        <f>tu!AH20</f>
        <v>5</v>
      </c>
      <c r="T9" s="26">
        <v>0.67068534950971148</v>
      </c>
    </row>
    <row r="10" spans="3:20" ht="17.399999999999999" thickBot="1" x14ac:dyDescent="0.3">
      <c r="C10" s="110" t="s">
        <v>85</v>
      </c>
      <c r="D10" s="8">
        <v>1.3461999999999998</v>
      </c>
      <c r="E10" s="8">
        <v>2.2182666666666671</v>
      </c>
      <c r="F10" s="8">
        <v>6.6378666666666666</v>
      </c>
      <c r="G10" s="8">
        <v>2.1505333333333332</v>
      </c>
      <c r="H10" s="8">
        <v>11.108266666666665</v>
      </c>
      <c r="K10" s="122">
        <f t="shared" si="1"/>
        <v>1.2019642857142855E-2</v>
      </c>
      <c r="L10" s="6">
        <f t="shared" si="2"/>
        <v>2.0539506172839509E-2</v>
      </c>
      <c r="M10" s="6">
        <f t="shared" si="3"/>
        <v>0.78834520981789391</v>
      </c>
      <c r="N10" s="6">
        <f t="shared" si="4"/>
        <v>0.10049221183800623</v>
      </c>
      <c r="O10" s="6">
        <f t="shared" si="5"/>
        <v>4.0989913899138988E-2</v>
      </c>
      <c r="P10" s="6">
        <f t="shared" si="6"/>
        <v>0.96238648458502152</v>
      </c>
      <c r="S10" s="25" t="str">
        <f>tu!AH21</f>
        <v xml:space="preserve">Control1 </v>
      </c>
      <c r="T10" s="26">
        <v>0.96238648458502152</v>
      </c>
    </row>
    <row r="11" spans="3:20" ht="17.399999999999999" thickBot="1" x14ac:dyDescent="0.3">
      <c r="C11" s="110" t="s">
        <v>86</v>
      </c>
      <c r="D11" s="6">
        <v>1.524</v>
      </c>
      <c r="E11" s="6">
        <v>1.7695333333333334</v>
      </c>
      <c r="F11" s="6">
        <v>4.5550666666666677</v>
      </c>
      <c r="G11" s="6">
        <v>3.2173333333333334</v>
      </c>
      <c r="H11" s="6">
        <v>3.7591999999999994</v>
      </c>
      <c r="K11" s="122">
        <f t="shared" si="1"/>
        <v>1.3607142857142858E-2</v>
      </c>
      <c r="L11" s="6">
        <f t="shared" si="2"/>
        <v>1.6384567901234569E-2</v>
      </c>
      <c r="M11" s="6">
        <f t="shared" si="3"/>
        <v>0.54098178939034058</v>
      </c>
      <c r="N11" s="6">
        <f t="shared" si="4"/>
        <v>0.15034267912772586</v>
      </c>
      <c r="O11" s="6">
        <f t="shared" si="5"/>
        <v>1.3871586715867157E-2</v>
      </c>
      <c r="P11" s="6">
        <f t="shared" si="6"/>
        <v>0.73518776599231117</v>
      </c>
      <c r="S11" s="25" t="str">
        <f>tu!AH22</f>
        <v>Control2</v>
      </c>
      <c r="T11" s="26">
        <v>0.73518776599231117</v>
      </c>
    </row>
    <row r="14" spans="3:20" ht="18.600000000000001" x14ac:dyDescent="0.65">
      <c r="I14" s="11"/>
    </row>
  </sheetData>
  <mergeCells count="1">
    <mergeCell ref="C4:H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X30"/>
  <sheetViews>
    <sheetView topLeftCell="A20" workbookViewId="0">
      <selection activeCell="B23" sqref="B23:L30"/>
    </sheetView>
  </sheetViews>
  <sheetFormatPr defaultRowHeight="13.8" x14ac:dyDescent="0.25"/>
  <sheetData>
    <row r="4" spans="7:24" ht="14.4" thickBot="1" x14ac:dyDescent="0.3"/>
    <row r="5" spans="7:24" ht="26.4" thickBot="1" x14ac:dyDescent="0.35">
      <c r="G5" s="28" t="s">
        <v>44</v>
      </c>
      <c r="H5" s="29"/>
      <c r="I5" s="30" t="s">
        <v>45</v>
      </c>
      <c r="J5" s="30" t="s">
        <v>46</v>
      </c>
      <c r="K5" s="30" t="s">
        <v>47</v>
      </c>
      <c r="L5" s="30" t="s">
        <v>48</v>
      </c>
    </row>
    <row r="6" spans="7:24" ht="21.6" thickBot="1" x14ac:dyDescent="0.3">
      <c r="G6" s="42">
        <v>1</v>
      </c>
      <c r="H6" s="31" t="s">
        <v>49</v>
      </c>
      <c r="I6" s="32" t="s">
        <v>50</v>
      </c>
      <c r="J6" s="33" t="s">
        <v>51</v>
      </c>
      <c r="K6" s="32" t="s">
        <v>52</v>
      </c>
      <c r="L6" s="33" t="s">
        <v>53</v>
      </c>
    </row>
    <row r="7" spans="7:24" ht="24.6" thickBot="1" x14ac:dyDescent="0.35">
      <c r="G7" s="43"/>
      <c r="H7" s="31" t="s">
        <v>54</v>
      </c>
      <c r="I7" s="34"/>
      <c r="J7" s="33" t="s">
        <v>55</v>
      </c>
      <c r="K7" s="34"/>
      <c r="L7" s="33">
        <v>2.81</v>
      </c>
      <c r="O7" s="36" t="s">
        <v>57</v>
      </c>
      <c r="P7" s="37"/>
      <c r="Q7" s="38" t="s">
        <v>58</v>
      </c>
      <c r="R7" s="38" t="s">
        <v>59</v>
      </c>
      <c r="S7" s="38" t="s">
        <v>60</v>
      </c>
      <c r="T7" s="38" t="s">
        <v>61</v>
      </c>
      <c r="U7" s="38" t="s">
        <v>62</v>
      </c>
      <c r="V7" s="38" t="s">
        <v>63</v>
      </c>
      <c r="W7" s="38" t="s">
        <v>64</v>
      </c>
      <c r="X7" s="38" t="s">
        <v>65</v>
      </c>
    </row>
    <row r="8" spans="7:24" ht="18" thickBot="1" x14ac:dyDescent="0.3">
      <c r="G8" s="42">
        <v>2</v>
      </c>
      <c r="H8" s="31" t="s">
        <v>49</v>
      </c>
      <c r="I8" s="35">
        <v>7.64</v>
      </c>
      <c r="J8" s="35">
        <v>55527.33</v>
      </c>
      <c r="K8" s="35">
        <v>7.31</v>
      </c>
      <c r="L8" s="35">
        <v>33.79</v>
      </c>
      <c r="O8" s="35">
        <v>1</v>
      </c>
      <c r="P8" s="35" t="s">
        <v>49</v>
      </c>
      <c r="Q8" s="35">
        <v>39643</v>
      </c>
      <c r="R8" s="35">
        <v>5.99</v>
      </c>
      <c r="S8" s="35">
        <v>3733.93</v>
      </c>
      <c r="T8" s="35">
        <v>12321.73</v>
      </c>
      <c r="U8" s="35">
        <v>276.01</v>
      </c>
      <c r="V8" s="35">
        <v>470</v>
      </c>
      <c r="W8" s="35">
        <v>1412.33</v>
      </c>
      <c r="X8" s="35">
        <v>0.12</v>
      </c>
    </row>
    <row r="9" spans="7:24" ht="18" thickBot="1" x14ac:dyDescent="0.3">
      <c r="G9" s="43"/>
      <c r="H9" s="31" t="s">
        <v>54</v>
      </c>
      <c r="I9" s="35">
        <v>0.12</v>
      </c>
      <c r="J9" s="35">
        <v>259.43</v>
      </c>
      <c r="K9" s="35">
        <v>0.88</v>
      </c>
      <c r="L9" s="35">
        <v>2.78</v>
      </c>
      <c r="O9" s="35"/>
      <c r="P9" s="35" t="s">
        <v>54</v>
      </c>
      <c r="Q9" s="35">
        <v>991.52</v>
      </c>
      <c r="R9" s="35">
        <v>1.06</v>
      </c>
      <c r="S9" s="35">
        <v>93.94</v>
      </c>
      <c r="T9" s="35">
        <v>708.04</v>
      </c>
      <c r="U9" s="35">
        <v>14.27</v>
      </c>
      <c r="V9" s="35">
        <v>51.86</v>
      </c>
      <c r="W9" s="35">
        <v>70.78</v>
      </c>
      <c r="X9" s="35">
        <v>0.01</v>
      </c>
    </row>
    <row r="10" spans="7:24" ht="18" thickBot="1" x14ac:dyDescent="0.3">
      <c r="G10" s="42">
        <v>3</v>
      </c>
      <c r="H10" s="31" t="s">
        <v>49</v>
      </c>
      <c r="I10" s="35">
        <v>7.66</v>
      </c>
      <c r="J10" s="35">
        <v>55605.47</v>
      </c>
      <c r="K10" s="35">
        <v>7.23</v>
      </c>
      <c r="L10" s="35">
        <v>33.71</v>
      </c>
      <c r="O10" s="35">
        <v>2</v>
      </c>
      <c r="P10" s="35" t="s">
        <v>49</v>
      </c>
      <c r="Q10" s="35">
        <v>39369</v>
      </c>
      <c r="R10" s="35">
        <v>5.45</v>
      </c>
      <c r="S10" s="35">
        <v>3722.33</v>
      </c>
      <c r="T10" s="35">
        <v>12442.87</v>
      </c>
      <c r="U10" s="35">
        <v>273.8</v>
      </c>
      <c r="V10" s="35">
        <v>449.2</v>
      </c>
      <c r="W10" s="35">
        <v>1467.53</v>
      </c>
      <c r="X10" s="35">
        <v>0.12</v>
      </c>
    </row>
    <row r="11" spans="7:24" ht="18" thickBot="1" x14ac:dyDescent="0.3">
      <c r="G11" s="43"/>
      <c r="H11" s="31" t="s">
        <v>54</v>
      </c>
      <c r="I11" s="35">
        <v>0.15</v>
      </c>
      <c r="J11" s="35">
        <v>249.38</v>
      </c>
      <c r="K11" s="35">
        <v>1.03</v>
      </c>
      <c r="L11" s="35">
        <v>2.83</v>
      </c>
      <c r="O11" s="35"/>
      <c r="P11" s="35" t="s">
        <v>54</v>
      </c>
      <c r="Q11" s="35">
        <v>1203.72</v>
      </c>
      <c r="R11" s="35">
        <v>0.69</v>
      </c>
      <c r="S11" s="35">
        <v>131.32</v>
      </c>
      <c r="T11" s="35">
        <v>646.89</v>
      </c>
      <c r="U11" s="35">
        <v>10.55</v>
      </c>
      <c r="V11" s="35">
        <v>32.76</v>
      </c>
      <c r="W11" s="35">
        <v>89.43</v>
      </c>
      <c r="X11" s="35">
        <v>0.01</v>
      </c>
    </row>
    <row r="12" spans="7:24" ht="18" thickBot="1" x14ac:dyDescent="0.3">
      <c r="G12" s="42">
        <v>4</v>
      </c>
      <c r="H12" s="31" t="s">
        <v>49</v>
      </c>
      <c r="I12" s="35">
        <v>7.65</v>
      </c>
      <c r="J12" s="35">
        <v>55484.53</v>
      </c>
      <c r="K12" s="35">
        <v>7.26</v>
      </c>
      <c r="L12" s="35">
        <v>34.14</v>
      </c>
      <c r="O12" s="35">
        <v>3</v>
      </c>
      <c r="P12" s="35" t="s">
        <v>49</v>
      </c>
      <c r="Q12" s="35">
        <v>39944.730000000003</v>
      </c>
      <c r="R12" s="35">
        <v>5.58</v>
      </c>
      <c r="S12" s="35">
        <v>3695.2</v>
      </c>
      <c r="T12" s="35">
        <v>12311.8</v>
      </c>
      <c r="U12" s="35">
        <v>278.87</v>
      </c>
      <c r="V12" s="35">
        <v>435.73</v>
      </c>
      <c r="W12" s="35">
        <v>1424.33</v>
      </c>
      <c r="X12" s="35">
        <v>0.11</v>
      </c>
    </row>
    <row r="13" spans="7:24" ht="18" thickBot="1" x14ac:dyDescent="0.3">
      <c r="G13" s="43"/>
      <c r="H13" s="31" t="s">
        <v>54</v>
      </c>
      <c r="I13" s="35">
        <v>0.21</v>
      </c>
      <c r="J13" s="35">
        <v>143.19</v>
      </c>
      <c r="K13" s="35">
        <v>0.92</v>
      </c>
      <c r="L13" s="35">
        <v>2.79</v>
      </c>
      <c r="O13" s="35"/>
      <c r="P13" s="35" t="s">
        <v>54</v>
      </c>
      <c r="Q13" s="35">
        <v>1430.78</v>
      </c>
      <c r="R13" s="35">
        <v>0.75</v>
      </c>
      <c r="S13" s="35">
        <v>102.56</v>
      </c>
      <c r="T13" s="35">
        <v>668.55</v>
      </c>
      <c r="U13" s="35">
        <v>12.58</v>
      </c>
      <c r="V13" s="35">
        <v>28.93</v>
      </c>
      <c r="W13" s="35">
        <v>91.85</v>
      </c>
      <c r="X13" s="35">
        <v>0.01</v>
      </c>
    </row>
    <row r="14" spans="7:24" ht="18" thickBot="1" x14ac:dyDescent="0.3">
      <c r="G14" s="42">
        <v>5</v>
      </c>
      <c r="H14" s="31" t="s">
        <v>49</v>
      </c>
      <c r="I14" s="35">
        <v>7.66</v>
      </c>
      <c r="J14" s="35">
        <v>55549.8</v>
      </c>
      <c r="K14" s="35">
        <v>7.36</v>
      </c>
      <c r="L14" s="35">
        <v>33.89</v>
      </c>
      <c r="O14" s="35">
        <v>4</v>
      </c>
      <c r="P14" s="35" t="s">
        <v>49</v>
      </c>
      <c r="Q14" s="35">
        <v>39772.5</v>
      </c>
      <c r="R14" s="35">
        <v>5.37</v>
      </c>
      <c r="S14" s="35">
        <v>3694.92</v>
      </c>
      <c r="T14" s="35">
        <v>12058.58</v>
      </c>
      <c r="U14" s="35">
        <v>275.14</v>
      </c>
      <c r="V14" s="35">
        <v>426.67</v>
      </c>
      <c r="W14" s="35">
        <v>1401.92</v>
      </c>
      <c r="X14" s="35">
        <v>0.12</v>
      </c>
    </row>
    <row r="15" spans="7:24" ht="18" thickBot="1" x14ac:dyDescent="0.3">
      <c r="G15" s="43"/>
      <c r="H15" s="31" t="s">
        <v>54</v>
      </c>
      <c r="I15" s="35">
        <v>0.11</v>
      </c>
      <c r="J15" s="35">
        <v>279.99</v>
      </c>
      <c r="K15" s="35">
        <v>0.9</v>
      </c>
      <c r="L15" s="35">
        <v>2.87</v>
      </c>
      <c r="O15" s="35"/>
      <c r="P15" s="35" t="s">
        <v>54</v>
      </c>
      <c r="Q15" s="35">
        <v>1262.0999999999999</v>
      </c>
      <c r="R15" s="35">
        <v>0.52</v>
      </c>
      <c r="S15" s="35">
        <v>111.77</v>
      </c>
      <c r="T15" s="35">
        <v>771.04</v>
      </c>
      <c r="U15" s="35">
        <v>9.7899999999999991</v>
      </c>
      <c r="V15" s="35">
        <v>19.989999999999998</v>
      </c>
      <c r="W15" s="35">
        <v>98.88</v>
      </c>
      <c r="X15" s="35">
        <v>0.01</v>
      </c>
    </row>
    <row r="16" spans="7:24" ht="18" thickBot="1" x14ac:dyDescent="0.3">
      <c r="G16" s="44" t="s">
        <v>56</v>
      </c>
      <c r="H16" s="31" t="s">
        <v>49</v>
      </c>
      <c r="I16" s="35">
        <v>7.53</v>
      </c>
      <c r="J16" s="35">
        <v>55365.15</v>
      </c>
      <c r="K16" s="35">
        <v>7.12</v>
      </c>
      <c r="L16" s="35">
        <v>33.79</v>
      </c>
      <c r="O16" s="35">
        <v>5</v>
      </c>
      <c r="P16" s="35" t="s">
        <v>49</v>
      </c>
      <c r="Q16" s="35">
        <v>39936.33</v>
      </c>
      <c r="R16" s="35">
        <v>5.34</v>
      </c>
      <c r="S16" s="35">
        <v>3646.08</v>
      </c>
      <c r="T16" s="35">
        <v>12371.33</v>
      </c>
      <c r="U16" s="35">
        <v>272.67</v>
      </c>
      <c r="V16" s="35">
        <v>441.75</v>
      </c>
      <c r="W16" s="35">
        <v>1434.75</v>
      </c>
      <c r="X16" s="35">
        <v>0.11</v>
      </c>
    </row>
    <row r="17" spans="2:24" ht="18" thickBot="1" x14ac:dyDescent="0.3">
      <c r="G17" s="45"/>
      <c r="H17" s="31" t="s">
        <v>54</v>
      </c>
      <c r="I17" s="35">
        <v>0.5</v>
      </c>
      <c r="J17" s="35">
        <v>245.1</v>
      </c>
      <c r="K17" s="35">
        <v>1.01</v>
      </c>
      <c r="L17" s="35">
        <v>2.72</v>
      </c>
      <c r="O17" s="35"/>
      <c r="P17" s="35" t="s">
        <v>54</v>
      </c>
      <c r="Q17" s="35">
        <v>1316.4</v>
      </c>
      <c r="R17" s="35">
        <v>0.49</v>
      </c>
      <c r="S17" s="35">
        <v>132.36000000000001</v>
      </c>
      <c r="T17" s="35">
        <v>947.22</v>
      </c>
      <c r="U17" s="35">
        <v>12.05</v>
      </c>
      <c r="V17" s="35">
        <v>21.27</v>
      </c>
      <c r="W17" s="35">
        <v>94.77</v>
      </c>
      <c r="X17" s="35">
        <v>0.01</v>
      </c>
    </row>
    <row r="18" spans="2:24" ht="18.75" customHeight="1" thickBot="1" x14ac:dyDescent="0.3">
      <c r="O18" s="35" t="s">
        <v>56</v>
      </c>
      <c r="P18" s="35" t="s">
        <v>49</v>
      </c>
      <c r="Q18" s="35">
        <v>63191</v>
      </c>
      <c r="R18" s="35">
        <v>5.52</v>
      </c>
      <c r="S18" s="35">
        <v>3698.67</v>
      </c>
      <c r="T18" s="35">
        <v>12638.33</v>
      </c>
      <c r="U18" s="35">
        <v>279.2</v>
      </c>
      <c r="V18" s="35">
        <v>436.33</v>
      </c>
      <c r="W18" s="35">
        <v>1384.67</v>
      </c>
      <c r="X18" s="35">
        <v>0.11</v>
      </c>
    </row>
    <row r="19" spans="2:24" ht="18.75" customHeight="1" thickBot="1" x14ac:dyDescent="0.3">
      <c r="O19" s="35"/>
      <c r="P19" s="35" t="s">
        <v>54</v>
      </c>
      <c r="Q19" s="35">
        <v>93191.33</v>
      </c>
      <c r="R19" s="35">
        <v>1.34</v>
      </c>
      <c r="S19" s="35">
        <v>128.78</v>
      </c>
      <c r="T19" s="35">
        <v>587.62</v>
      </c>
      <c r="U19" s="35">
        <v>8.7200000000000006</v>
      </c>
      <c r="V19" s="35">
        <v>39.21</v>
      </c>
      <c r="W19" s="35">
        <v>64.290000000000006</v>
      </c>
      <c r="X19" s="35">
        <v>0.01</v>
      </c>
    </row>
    <row r="22" spans="2:24" ht="14.4" thickBot="1" x14ac:dyDescent="0.3"/>
    <row r="23" spans="2:24" ht="16.2" thickBot="1" x14ac:dyDescent="0.3">
      <c r="B23" s="125"/>
      <c r="C23" s="126" t="s">
        <v>45</v>
      </c>
      <c r="D23" s="126" t="s">
        <v>46</v>
      </c>
      <c r="E23" s="126" t="s">
        <v>66</v>
      </c>
      <c r="F23" s="126" t="s">
        <v>58</v>
      </c>
      <c r="G23" s="126" t="s">
        <v>59</v>
      </c>
      <c r="H23" s="126" t="s">
        <v>60</v>
      </c>
      <c r="I23" s="126" t="s">
        <v>7</v>
      </c>
      <c r="J23" s="126" t="s">
        <v>65</v>
      </c>
      <c r="K23" s="127" t="s">
        <v>67</v>
      </c>
      <c r="L23" s="128"/>
    </row>
    <row r="24" spans="2:24" ht="23.4" thickBot="1" x14ac:dyDescent="0.3">
      <c r="B24" s="129" t="s">
        <v>68</v>
      </c>
      <c r="C24" s="130">
        <v>98</v>
      </c>
      <c r="D24" s="130">
        <v>51</v>
      </c>
      <c r="E24" s="130">
        <v>102</v>
      </c>
      <c r="F24" s="130">
        <v>108</v>
      </c>
      <c r="G24" s="130">
        <v>106.5</v>
      </c>
      <c r="H24" s="130">
        <v>10.5</v>
      </c>
      <c r="I24" s="130">
        <v>11.5</v>
      </c>
      <c r="J24" s="130">
        <v>112.5</v>
      </c>
      <c r="K24" s="131">
        <v>70</v>
      </c>
      <c r="L24" s="128"/>
    </row>
    <row r="25" spans="2:24" ht="15" thickBot="1" x14ac:dyDescent="0.3">
      <c r="B25" s="129" t="s">
        <v>69</v>
      </c>
      <c r="C25" s="130">
        <v>218</v>
      </c>
      <c r="D25" s="130">
        <v>71</v>
      </c>
      <c r="E25" s="130">
        <v>222</v>
      </c>
      <c r="F25" s="130">
        <v>228</v>
      </c>
      <c r="G25" s="130">
        <v>226.5</v>
      </c>
      <c r="H25" s="130">
        <v>130.5</v>
      </c>
      <c r="I25" s="130">
        <v>131.5</v>
      </c>
      <c r="J25" s="130">
        <v>232.5</v>
      </c>
      <c r="K25" s="131">
        <v>190</v>
      </c>
      <c r="L25" s="128"/>
    </row>
    <row r="26" spans="2:24" ht="15" thickBot="1" x14ac:dyDescent="0.3">
      <c r="B26" s="129" t="s">
        <v>70</v>
      </c>
      <c r="C26" s="130">
        <v>-0.6</v>
      </c>
      <c r="D26" s="130">
        <v>-2.5510000000000002</v>
      </c>
      <c r="E26" s="130">
        <v>-0.43</v>
      </c>
      <c r="F26" s="130">
        <v>-0.18</v>
      </c>
      <c r="G26" s="130">
        <v>-0.254</v>
      </c>
      <c r="H26" s="130">
        <v>-4.2729999999999997</v>
      </c>
      <c r="I26" s="130">
        <v>-4.2169999999999996</v>
      </c>
      <c r="J26" s="130">
        <v>0</v>
      </c>
      <c r="K26" s="131">
        <v>-1.7629999999999999</v>
      </c>
      <c r="L26" s="128"/>
    </row>
    <row r="27" spans="2:24" ht="34.799999999999997" thickBot="1" x14ac:dyDescent="0.3">
      <c r="B27" s="129" t="s">
        <v>71</v>
      </c>
      <c r="C27" s="130">
        <v>0.54</v>
      </c>
      <c r="D27" s="132">
        <v>1.0999999999999999E-2</v>
      </c>
      <c r="E27" s="130">
        <v>0.66</v>
      </c>
      <c r="F27" s="130">
        <v>0.85</v>
      </c>
      <c r="G27" s="130">
        <v>0.8</v>
      </c>
      <c r="H27" s="132">
        <v>0</v>
      </c>
      <c r="I27" s="132">
        <v>0</v>
      </c>
      <c r="J27" s="130">
        <v>1</v>
      </c>
      <c r="K27" s="131">
        <v>7.8E-2</v>
      </c>
      <c r="L27" s="128"/>
    </row>
    <row r="28" spans="2:24" ht="34.799999999999997" thickBot="1" x14ac:dyDescent="0.3">
      <c r="B28" s="129" t="s">
        <v>72</v>
      </c>
      <c r="C28" s="130" t="s">
        <v>73</v>
      </c>
      <c r="D28" s="130" t="s">
        <v>74</v>
      </c>
      <c r="E28" s="130" t="s">
        <v>75</v>
      </c>
      <c r="F28" s="130" t="s">
        <v>76</v>
      </c>
      <c r="G28" s="130" t="s">
        <v>77</v>
      </c>
      <c r="H28" s="130" t="s">
        <v>78</v>
      </c>
      <c r="I28" s="130" t="s">
        <v>78</v>
      </c>
      <c r="J28" s="130" t="s">
        <v>79</v>
      </c>
      <c r="K28" s="131" t="s">
        <v>80</v>
      </c>
      <c r="L28" s="133"/>
    </row>
    <row r="29" spans="2:24" ht="14.4" thickBot="1" x14ac:dyDescent="0.3">
      <c r="B29" s="134" t="s">
        <v>81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</row>
    <row r="30" spans="2:24" ht="14.4" thickBot="1" x14ac:dyDescent="0.3">
      <c r="B30" s="134" t="s">
        <v>82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</row>
  </sheetData>
  <mergeCells count="8">
    <mergeCell ref="B29:L29"/>
    <mergeCell ref="B30:L30"/>
    <mergeCell ref="G6:G7"/>
    <mergeCell ref="G8:G9"/>
    <mergeCell ref="G10:G11"/>
    <mergeCell ref="G12:G13"/>
    <mergeCell ref="G14:G15"/>
    <mergeCell ref="G16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tu</vt:lpstr>
      <vt:lpstr>C</vt:lpstr>
      <vt:lpstr>Cf</vt:lpstr>
      <vt:lpstr>EF</vt:lpstr>
      <vt:lpstr>Sheet3</vt:lpstr>
      <vt:lpstr>PI</vt:lpstr>
      <vt:lpstr>QTEL</vt:lpstr>
      <vt:lpstr>Qpel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Dr.alipoor</cp:lastModifiedBy>
  <dcterms:created xsi:type="dcterms:W3CDTF">2021-08-17T05:34:05Z</dcterms:created>
  <dcterms:modified xsi:type="dcterms:W3CDTF">2022-05-15T06:00:33Z</dcterms:modified>
</cp:coreProperties>
</file>