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chardduggleby/Google Drive/T-control/current submission/Submission 2021/Data for submission/submission/"/>
    </mc:Choice>
  </mc:AlternateContent>
  <xr:revisionPtr revIDLastSave="0" documentId="8_{B482E174-D39B-0644-A6B7-921D00166302}" xr6:coauthVersionLast="45" xr6:coauthVersionMax="45" xr10:uidLastSave="{00000000-0000-0000-0000-000000000000}"/>
  <bookViews>
    <workbookView xWindow="2160" yWindow="440" windowWidth="25600" windowHeight="15520" tabRatio="859" activeTab="3" xr2:uid="{00000000-000D-0000-FFFF-FFFF00000000}"/>
  </bookViews>
  <sheets>
    <sheet name="Raw expansion data" sheetId="1" r:id="rId1"/>
    <sheet name="fold and cumlative expansion" sheetId="3" r:id="rId2"/>
    <sheet name="Suppressive function" sheetId="5" r:id="rId3"/>
    <sheet name="Sheet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7" i="5" l="1"/>
  <c r="T74" i="5"/>
  <c r="T63" i="5"/>
  <c r="T60" i="5"/>
  <c r="S77" i="5"/>
  <c r="S74" i="5"/>
  <c r="S63" i="5"/>
  <c r="S60" i="5"/>
  <c r="R77" i="5"/>
  <c r="R74" i="5"/>
  <c r="R63" i="5"/>
  <c r="R60" i="5"/>
  <c r="Q77" i="5"/>
  <c r="Q74" i="5"/>
  <c r="Q63" i="5"/>
  <c r="Q60" i="5"/>
  <c r="P77" i="5"/>
  <c r="P74" i="5"/>
  <c r="P71" i="5"/>
  <c r="P67" i="5"/>
  <c r="P63" i="5"/>
  <c r="P60" i="5"/>
  <c r="J77" i="5"/>
  <c r="J74" i="5"/>
  <c r="J63" i="5"/>
  <c r="J60" i="5"/>
  <c r="I77" i="5"/>
  <c r="I74" i="5"/>
  <c r="I63" i="5"/>
  <c r="I60" i="5"/>
  <c r="H77" i="5"/>
  <c r="H74" i="5"/>
  <c r="H63" i="5"/>
  <c r="H60" i="5"/>
  <c r="G77" i="5"/>
  <c r="G74" i="5"/>
  <c r="G63" i="5"/>
  <c r="G60" i="5"/>
  <c r="E63" i="5"/>
  <c r="E60" i="5"/>
  <c r="D77" i="5"/>
  <c r="D74" i="5"/>
  <c r="D70" i="5"/>
  <c r="D67" i="5"/>
  <c r="D63" i="5"/>
  <c r="D60" i="5"/>
  <c r="C77" i="5"/>
  <c r="C74" i="5"/>
  <c r="C70" i="5"/>
  <c r="C67" i="5"/>
  <c r="C63" i="5"/>
  <c r="C60" i="5"/>
  <c r="T26" i="5"/>
  <c r="T25" i="5"/>
  <c r="T24" i="5"/>
  <c r="T23" i="5"/>
  <c r="T12" i="5"/>
  <c r="T11" i="5"/>
  <c r="T10" i="5"/>
  <c r="T9" i="5"/>
  <c r="S26" i="5"/>
  <c r="S25" i="5"/>
  <c r="S24" i="5"/>
  <c r="S23" i="5"/>
  <c r="S12" i="5"/>
  <c r="S11" i="5"/>
  <c r="S10" i="5"/>
  <c r="S9" i="5"/>
  <c r="R26" i="5"/>
  <c r="R25" i="5"/>
  <c r="R24" i="5"/>
  <c r="R23" i="5"/>
  <c r="R12" i="5"/>
  <c r="R11" i="5"/>
  <c r="R10" i="5"/>
  <c r="R9" i="5"/>
  <c r="Q26" i="5"/>
  <c r="Q25" i="5"/>
  <c r="Q24" i="5"/>
  <c r="Q23" i="5"/>
  <c r="Q12" i="5"/>
  <c r="Q11" i="5"/>
  <c r="Q10" i="5"/>
  <c r="Q9" i="5"/>
  <c r="P26" i="5"/>
  <c r="P25" i="5"/>
  <c r="P24" i="5"/>
  <c r="P23" i="5"/>
  <c r="P19" i="5"/>
  <c r="P18" i="5"/>
  <c r="P17" i="5"/>
  <c r="P16" i="5"/>
  <c r="P12" i="5"/>
  <c r="P11" i="5"/>
  <c r="P10" i="5"/>
  <c r="P9" i="5"/>
  <c r="J26" i="5"/>
  <c r="J25" i="5"/>
  <c r="J24" i="5"/>
  <c r="J23" i="5"/>
  <c r="J12" i="5"/>
  <c r="J11" i="5"/>
  <c r="J10" i="5"/>
  <c r="J9" i="5"/>
  <c r="I26" i="5"/>
  <c r="I25" i="5"/>
  <c r="I24" i="5"/>
  <c r="I23" i="5"/>
  <c r="I12" i="5"/>
  <c r="I11" i="5"/>
  <c r="I10" i="5"/>
  <c r="I9" i="5"/>
  <c r="H26" i="5"/>
  <c r="H25" i="5"/>
  <c r="H24" i="5"/>
  <c r="H23" i="5"/>
  <c r="H12" i="5"/>
  <c r="H11" i="5"/>
  <c r="H10" i="5"/>
  <c r="H9" i="5"/>
  <c r="G26" i="5"/>
  <c r="G25" i="5"/>
  <c r="G24" i="5"/>
  <c r="G23" i="5"/>
  <c r="G12" i="5"/>
  <c r="G11" i="5"/>
  <c r="G10" i="5"/>
  <c r="G9" i="5"/>
  <c r="E12" i="5"/>
  <c r="E11" i="5"/>
  <c r="E10" i="5"/>
  <c r="E9" i="5"/>
  <c r="D26" i="5"/>
  <c r="D25" i="5"/>
  <c r="D24" i="5"/>
  <c r="D23" i="5"/>
  <c r="D19" i="5"/>
  <c r="D18" i="5"/>
  <c r="D17" i="5"/>
  <c r="D16" i="5"/>
  <c r="D12" i="5"/>
  <c r="D11" i="5"/>
  <c r="D10" i="5"/>
  <c r="D9" i="5"/>
  <c r="C26" i="5"/>
  <c r="C25" i="5"/>
  <c r="C24" i="5"/>
  <c r="C23" i="5"/>
  <c r="C19" i="5"/>
  <c r="C18" i="5"/>
  <c r="C17" i="5"/>
  <c r="C16" i="5"/>
  <c r="C12" i="5"/>
  <c r="C11" i="5"/>
  <c r="C10" i="5"/>
  <c r="C9" i="5"/>
  <c r="AI33" i="1"/>
  <c r="O6" i="1"/>
  <c r="G37" i="3"/>
  <c r="G24" i="3"/>
  <c r="G38" i="3" s="1"/>
  <c r="G25" i="3"/>
  <c r="G39" i="3" s="1"/>
  <c r="G26" i="3"/>
  <c r="G40" i="3" s="1"/>
  <c r="H28" i="3"/>
  <c r="F44" i="3"/>
  <c r="AI32" i="1"/>
  <c r="F43" i="3"/>
  <c r="E42" i="3"/>
  <c r="E41" i="3"/>
  <c r="E40" i="3"/>
  <c r="E39" i="3"/>
  <c r="E38" i="3"/>
  <c r="E37" i="3"/>
  <c r="E36" i="3"/>
  <c r="E35" i="3"/>
  <c r="AJ50" i="1"/>
  <c r="AJ49" i="1"/>
  <c r="E50" i="1"/>
  <c r="E49" i="1"/>
  <c r="AI49" i="1" s="1"/>
  <c r="AQ66" i="1"/>
  <c r="Q66" i="1"/>
  <c r="P66" i="1"/>
  <c r="AP66" i="1" s="1"/>
  <c r="P65" i="1"/>
  <c r="N66" i="1"/>
  <c r="M66" i="1"/>
  <c r="L64" i="1"/>
  <c r="L66" i="1" s="1"/>
  <c r="K66" i="1"/>
  <c r="J66" i="1"/>
  <c r="AP65" i="1"/>
  <c r="Q65" i="1"/>
  <c r="AQ65" i="1" s="1"/>
  <c r="M65" i="1"/>
  <c r="AN65" i="1" s="1"/>
  <c r="L65" i="1"/>
  <c r="K65" i="1"/>
  <c r="AM65" i="1" s="1"/>
  <c r="J65" i="1"/>
  <c r="AL65" i="1" s="1"/>
  <c r="O64" i="1"/>
  <c r="O66" i="1" s="1"/>
  <c r="O65" i="1"/>
  <c r="O63" i="1"/>
  <c r="N65" i="1"/>
  <c r="AM66" i="1"/>
  <c r="AK69" i="1"/>
  <c r="AK65" i="1"/>
  <c r="I66" i="1"/>
  <c r="I65" i="1"/>
  <c r="H69" i="1"/>
  <c r="H68" i="1"/>
  <c r="AK68" i="1" s="1"/>
  <c r="H66" i="1"/>
  <c r="AK66" i="1" s="1"/>
  <c r="H65" i="1"/>
  <c r="AR57" i="1"/>
  <c r="AT57" i="1"/>
  <c r="AK56" i="1"/>
  <c r="L57" i="1"/>
  <c r="AM57" i="1" s="1"/>
  <c r="L56" i="1"/>
  <c r="AL56" i="1" s="1"/>
  <c r="K57" i="1"/>
  <c r="AK57" i="1" s="1"/>
  <c r="K56" i="1"/>
  <c r="AR69" i="1"/>
  <c r="AR68" i="1"/>
  <c r="AR66" i="1"/>
  <c r="AR65" i="1"/>
  <c r="AJ66" i="1"/>
  <c r="AJ65" i="1"/>
  <c r="N57" i="1"/>
  <c r="M57" i="1"/>
  <c r="M56" i="1"/>
  <c r="N56" i="1" s="1"/>
  <c r="J57" i="1"/>
  <c r="I57" i="1"/>
  <c r="I56" i="1"/>
  <c r="J56" i="1" s="1"/>
  <c r="E69" i="1"/>
  <c r="AJ69" i="1" s="1"/>
  <c r="E68" i="1"/>
  <c r="AJ68" i="1" s="1"/>
  <c r="E66" i="1"/>
  <c r="AI66" i="1" s="1"/>
  <c r="E65" i="1"/>
  <c r="AI65" i="1" s="1"/>
  <c r="AR60" i="1"/>
  <c r="AR59" i="1"/>
  <c r="AS59" i="1" s="1"/>
  <c r="AI60" i="1"/>
  <c r="AS60" i="1" s="1"/>
  <c r="AJ59" i="1"/>
  <c r="AI59" i="1"/>
  <c r="AJ57" i="1"/>
  <c r="AI57" i="1"/>
  <c r="AS57" i="1" s="1"/>
  <c r="AR56" i="1"/>
  <c r="AI56" i="1"/>
  <c r="AS56" i="1" s="1"/>
  <c r="H60" i="1"/>
  <c r="AJ60" i="1" s="1"/>
  <c r="AT60" i="1" s="1"/>
  <c r="H59" i="1"/>
  <c r="H57" i="1"/>
  <c r="H56" i="1"/>
  <c r="AJ56" i="1" s="1"/>
  <c r="H27" i="3" s="1"/>
  <c r="AN49" i="1"/>
  <c r="AN50" i="1"/>
  <c r="I50" i="1"/>
  <c r="H50" i="1"/>
  <c r="AK50" i="1" s="1"/>
  <c r="AL50" i="1"/>
  <c r="AI50" i="1"/>
  <c r="AR50" i="1"/>
  <c r="AS50" i="1"/>
  <c r="AM50" i="1"/>
  <c r="D160" i="1"/>
  <c r="C160" i="1"/>
  <c r="E160" i="1"/>
  <c r="F160" i="1" s="1"/>
  <c r="C157" i="1"/>
  <c r="N158" i="1"/>
  <c r="N159" i="1"/>
  <c r="N167" i="1" s="1"/>
  <c r="N162" i="1"/>
  <c r="N163" i="1"/>
  <c r="N165" i="1"/>
  <c r="N166" i="1"/>
  <c r="C156" i="1"/>
  <c r="K158" i="1"/>
  <c r="C159" i="1"/>
  <c r="F159" i="1" s="1"/>
  <c r="G159" i="1" s="1"/>
  <c r="E161" i="1"/>
  <c r="E162" i="1"/>
  <c r="E163" i="1"/>
  <c r="E165" i="1"/>
  <c r="E166" i="1"/>
  <c r="D159" i="1"/>
  <c r="E159" i="1" s="1"/>
  <c r="D156" i="1"/>
  <c r="E156" i="1" s="1"/>
  <c r="F156" i="1" s="1"/>
  <c r="G156" i="1" s="1"/>
  <c r="D157" i="1"/>
  <c r="E157" i="1" s="1"/>
  <c r="F157" i="1"/>
  <c r="I49" i="1"/>
  <c r="AM49" i="1" s="1"/>
  <c r="H49" i="1"/>
  <c r="AK49" i="1" s="1"/>
  <c r="H26" i="3" s="1"/>
  <c r="H40" i="3" s="1"/>
  <c r="AR49" i="1"/>
  <c r="AS49" i="1"/>
  <c r="AI52" i="1"/>
  <c r="AR52" i="1"/>
  <c r="AR53" i="1"/>
  <c r="AS53" i="1" s="1"/>
  <c r="AI53" i="1"/>
  <c r="I53" i="1"/>
  <c r="H53" i="1"/>
  <c r="I52" i="1"/>
  <c r="H52" i="1"/>
  <c r="AK52" i="1" s="1"/>
  <c r="F31" i="3"/>
  <c r="F43" i="1"/>
  <c r="J43" i="1"/>
  <c r="AJ43" i="1"/>
  <c r="E43" i="1"/>
  <c r="AI43" i="1" s="1"/>
  <c r="AR43" i="1"/>
  <c r="G43" i="1"/>
  <c r="AK43" i="1"/>
  <c r="Q43" i="1"/>
  <c r="M43" i="1"/>
  <c r="N43" i="1"/>
  <c r="P43" i="1" s="1"/>
  <c r="W43" i="1"/>
  <c r="T43" i="1"/>
  <c r="V43" i="1" s="1"/>
  <c r="S43" i="1"/>
  <c r="AM43" i="1"/>
  <c r="X43" i="1"/>
  <c r="Y43" i="1"/>
  <c r="AN43" i="1"/>
  <c r="AA43" i="1"/>
  <c r="Z43" i="1"/>
  <c r="AB43" i="1"/>
  <c r="AO43" i="1" s="1"/>
  <c r="E42" i="1"/>
  <c r="AI42" i="1"/>
  <c r="AR42" i="1"/>
  <c r="F42" i="1"/>
  <c r="J42" i="1"/>
  <c r="AJ42" i="1"/>
  <c r="G42" i="1"/>
  <c r="AK42" i="1" s="1"/>
  <c r="Q42" i="1"/>
  <c r="M42" i="1"/>
  <c r="N42" i="1" s="1"/>
  <c r="U42" i="1"/>
  <c r="V42" i="1" s="1"/>
  <c r="AM42" i="1" s="1"/>
  <c r="O42" i="1"/>
  <c r="S42" i="1"/>
  <c r="X42" i="1"/>
  <c r="W42" i="1"/>
  <c r="Y42" i="1"/>
  <c r="AN42" i="1" s="1"/>
  <c r="AA42" i="1"/>
  <c r="Z42" i="1"/>
  <c r="AB42" i="1"/>
  <c r="AO42" i="1" s="1"/>
  <c r="Q46" i="1"/>
  <c r="O46" i="1"/>
  <c r="Q45" i="1"/>
  <c r="R45" i="1" s="1"/>
  <c r="O45" i="1"/>
  <c r="M46" i="1"/>
  <c r="N46" i="1"/>
  <c r="P46" i="1" s="1"/>
  <c r="M45" i="1"/>
  <c r="N45" i="1" s="1"/>
  <c r="P45" i="1" s="1"/>
  <c r="G46" i="1"/>
  <c r="K46" i="1"/>
  <c r="G45" i="1"/>
  <c r="K45" i="1"/>
  <c r="L45" i="1"/>
  <c r="K43" i="1"/>
  <c r="L43" i="1"/>
  <c r="K42" i="1"/>
  <c r="AR46" i="1"/>
  <c r="E46" i="1"/>
  <c r="AI46" i="1"/>
  <c r="AS46" i="1"/>
  <c r="J46" i="1"/>
  <c r="AR45" i="1"/>
  <c r="AS45" i="1" s="1"/>
  <c r="E45" i="1"/>
  <c r="AI45" i="1"/>
  <c r="J45" i="1"/>
  <c r="I46" i="1"/>
  <c r="I45" i="1"/>
  <c r="I43" i="1"/>
  <c r="I42" i="1"/>
  <c r="AI37" i="1"/>
  <c r="AR37" i="1"/>
  <c r="AJ37" i="1"/>
  <c r="AK37" i="1"/>
  <c r="N37" i="1"/>
  <c r="AL37" i="1"/>
  <c r="AI36" i="1"/>
  <c r="AR36" i="1"/>
  <c r="AS36" i="1"/>
  <c r="AJ36" i="1"/>
  <c r="AT36" i="1" s="1"/>
  <c r="AU36" i="1" s="1"/>
  <c r="AV36" i="1" s="1"/>
  <c r="AK36" i="1"/>
  <c r="N36" i="1"/>
  <c r="AL36" i="1" s="1"/>
  <c r="AI35" i="1"/>
  <c r="AR35" i="1"/>
  <c r="AJ35" i="1"/>
  <c r="AK35" i="1"/>
  <c r="N35" i="1"/>
  <c r="AL35" i="1"/>
  <c r="AR33" i="1"/>
  <c r="AS33" i="1"/>
  <c r="AJ33" i="1"/>
  <c r="AT33" i="1"/>
  <c r="AU33" i="1" s="1"/>
  <c r="I33" i="1"/>
  <c r="AK33" i="1"/>
  <c r="N33" i="1"/>
  <c r="AL33" i="1" s="1"/>
  <c r="AR32" i="1"/>
  <c r="AS32" i="1"/>
  <c r="AT32" i="1" s="1"/>
  <c r="AJ32" i="1"/>
  <c r="I32" i="1"/>
  <c r="AK32" i="1"/>
  <c r="N32" i="1"/>
  <c r="AL32" i="1" s="1"/>
  <c r="AI31" i="1"/>
  <c r="AR31" i="1"/>
  <c r="AS31" i="1" s="1"/>
  <c r="AJ31" i="1"/>
  <c r="I31" i="1"/>
  <c r="AL31" i="1" s="1"/>
  <c r="AK31" i="1"/>
  <c r="N31" i="1"/>
  <c r="L23" i="1"/>
  <c r="AL23" i="1"/>
  <c r="I23" i="3" s="1"/>
  <c r="J23" i="1"/>
  <c r="I23" i="1"/>
  <c r="AK23" i="1"/>
  <c r="AJ23" i="1"/>
  <c r="E23" i="1"/>
  <c r="AI23" i="1"/>
  <c r="G23" i="3" s="1"/>
  <c r="AR23" i="1"/>
  <c r="L27" i="1"/>
  <c r="AL27" i="1"/>
  <c r="J27" i="1"/>
  <c r="AK27" i="1" s="1"/>
  <c r="I27" i="1"/>
  <c r="AJ27" i="1"/>
  <c r="E27" i="1"/>
  <c r="AI27" i="1" s="1"/>
  <c r="AS27" i="1" s="1"/>
  <c r="AT27" i="1" s="1"/>
  <c r="AR27" i="1"/>
  <c r="H6" i="1"/>
  <c r="I6" i="1" s="1"/>
  <c r="F6" i="1"/>
  <c r="K6" i="1"/>
  <c r="AJ6" i="1"/>
  <c r="AI6" i="1"/>
  <c r="AR6" i="1"/>
  <c r="AS6" i="1"/>
  <c r="M16" i="1"/>
  <c r="AK16" i="1" s="1"/>
  <c r="AJ16" i="1"/>
  <c r="E16" i="1"/>
  <c r="AI16" i="1"/>
  <c r="AR16" i="1"/>
  <c r="O5" i="1"/>
  <c r="P5" i="1" s="1"/>
  <c r="AK5" i="1" s="1"/>
  <c r="AL5" i="1"/>
  <c r="H5" i="1"/>
  <c r="I5" i="1"/>
  <c r="F5" i="1"/>
  <c r="K5" i="1"/>
  <c r="AJ5" i="1"/>
  <c r="AI5" i="1"/>
  <c r="AS5" i="1" s="1"/>
  <c r="AR5" i="1"/>
  <c r="M15" i="1"/>
  <c r="AK15" i="1"/>
  <c r="AJ15" i="1"/>
  <c r="E15" i="1"/>
  <c r="AI15" i="1"/>
  <c r="AR15" i="1"/>
  <c r="O4" i="1"/>
  <c r="AL4" i="1"/>
  <c r="I21" i="3" s="1"/>
  <c r="P4" i="1"/>
  <c r="H4" i="1"/>
  <c r="I4" i="1" s="1"/>
  <c r="F4" i="1"/>
  <c r="AJ4" i="1" s="1"/>
  <c r="K4" i="1"/>
  <c r="AI4" i="1"/>
  <c r="G21" i="3" s="1"/>
  <c r="AR4" i="1"/>
  <c r="M14" i="1"/>
  <c r="AK14" i="1"/>
  <c r="I22" i="3" s="1"/>
  <c r="AJ14" i="1"/>
  <c r="H22" i="3" s="1"/>
  <c r="H36" i="3" s="1"/>
  <c r="E14" i="1"/>
  <c r="AI14" i="1"/>
  <c r="G22" i="3" s="1"/>
  <c r="G36" i="3" s="1"/>
  <c r="AR14" i="1"/>
  <c r="AS14" i="1"/>
  <c r="K8" i="1"/>
  <c r="F8" i="1"/>
  <c r="AJ8" i="1" s="1"/>
  <c r="K10" i="1"/>
  <c r="F10" i="1"/>
  <c r="AJ10" i="1"/>
  <c r="K9" i="1"/>
  <c r="F9" i="1"/>
  <c r="AJ9" i="1"/>
  <c r="E20" i="1"/>
  <c r="AJ20" i="1" s="1"/>
  <c r="AR20" i="1"/>
  <c r="E19" i="1"/>
  <c r="AJ19" i="1"/>
  <c r="AT19" i="1" s="1"/>
  <c r="AI19" i="1"/>
  <c r="AS19" i="1" s="1"/>
  <c r="AR19" i="1"/>
  <c r="E18" i="1"/>
  <c r="AJ18" i="1" s="1"/>
  <c r="AR18" i="1"/>
  <c r="AR10" i="1"/>
  <c r="AI10" i="1"/>
  <c r="AS10" i="1"/>
  <c r="O10" i="1"/>
  <c r="P10" i="1" s="1"/>
  <c r="AK10" i="1" s="1"/>
  <c r="AT10" i="1" s="1"/>
  <c r="AL10" i="1"/>
  <c r="AR9" i="1"/>
  <c r="AI9" i="1"/>
  <c r="AS9" i="1" s="1"/>
  <c r="O9" i="1"/>
  <c r="P9" i="1"/>
  <c r="AK9" i="1"/>
  <c r="AL9" i="1"/>
  <c r="AR8" i="1"/>
  <c r="AI8" i="1"/>
  <c r="AS8" i="1" s="1"/>
  <c r="O8" i="1"/>
  <c r="AL8" i="1" s="1"/>
  <c r="P8" i="1"/>
  <c r="AK8" i="1" s="1"/>
  <c r="AT8" i="1" s="1"/>
  <c r="AU5" i="1" l="1"/>
  <c r="AU8" i="1"/>
  <c r="AK4" i="1"/>
  <c r="AV27" i="1"/>
  <c r="AU57" i="1"/>
  <c r="I28" i="3"/>
  <c r="I25" i="3"/>
  <c r="AT9" i="1"/>
  <c r="AU9" i="1" s="1"/>
  <c r="AU10" i="1"/>
  <c r="AT20" i="1"/>
  <c r="I36" i="3"/>
  <c r="AU27" i="1"/>
  <c r="I24" i="3"/>
  <c r="R42" i="1"/>
  <c r="AL42" i="1" s="1"/>
  <c r="P42" i="1"/>
  <c r="AT6" i="1"/>
  <c r="I37" i="3"/>
  <c r="AU32" i="1"/>
  <c r="L46" i="1"/>
  <c r="H25" i="3"/>
  <c r="H39" i="3" s="1"/>
  <c r="AI18" i="1"/>
  <c r="AS18" i="1" s="1"/>
  <c r="AT18" i="1" s="1"/>
  <c r="AI20" i="1"/>
  <c r="AS20" i="1" s="1"/>
  <c r="AS16" i="1"/>
  <c r="H24" i="3"/>
  <c r="H38" i="3" s="1"/>
  <c r="AT31" i="1"/>
  <c r="S45" i="1"/>
  <c r="S46" i="1"/>
  <c r="AS52" i="1"/>
  <c r="AU52" i="1" s="1"/>
  <c r="AL49" i="1"/>
  <c r="G28" i="3"/>
  <c r="G42" i="3" s="1"/>
  <c r="AS65" i="1"/>
  <c r="AT65" i="1" s="1"/>
  <c r="AU65" i="1" s="1"/>
  <c r="AI69" i="1"/>
  <c r="AS69" i="1" s="1"/>
  <c r="AT69" i="1" s="1"/>
  <c r="AU69" i="1" s="1"/>
  <c r="AL66" i="1"/>
  <c r="AN66" i="1"/>
  <c r="AS43" i="1"/>
  <c r="AT43" i="1" s="1"/>
  <c r="AU43" i="1" s="1"/>
  <c r="AJ53" i="1"/>
  <c r="AK53" i="1"/>
  <c r="AU53" i="1" s="1"/>
  <c r="G35" i="3"/>
  <c r="AT5" i="1"/>
  <c r="L42" i="1"/>
  <c r="AS42" i="1"/>
  <c r="AT42" i="1" s="1"/>
  <c r="AU42" i="1" s="1"/>
  <c r="H42" i="3"/>
  <c r="P6" i="1"/>
  <c r="AK6" i="1" s="1"/>
  <c r="AL6" i="1"/>
  <c r="AT14" i="1"/>
  <c r="AS4" i="1"/>
  <c r="AS15" i="1"/>
  <c r="AS23" i="1"/>
  <c r="H23" i="3"/>
  <c r="H37" i="3" s="1"/>
  <c r="AV33" i="1"/>
  <c r="AU35" i="1"/>
  <c r="AV35" i="1" s="1"/>
  <c r="AS35" i="1"/>
  <c r="AT35" i="1" s="1"/>
  <c r="AS37" i="1"/>
  <c r="AT37" i="1" s="1"/>
  <c r="AU37" i="1" s="1"/>
  <c r="AV37" i="1" s="1"/>
  <c r="AK46" i="1"/>
  <c r="AU46" i="1" s="1"/>
  <c r="AK45" i="1"/>
  <c r="AU45" i="1" s="1"/>
  <c r="R46" i="1"/>
  <c r="R43" i="1"/>
  <c r="AL43" i="1" s="1"/>
  <c r="AJ52" i="1"/>
  <c r="AS66" i="1"/>
  <c r="AT66" i="1" s="1"/>
  <c r="AW57" i="1"/>
  <c r="AT56" i="1"/>
  <c r="AU56" i="1" s="1"/>
  <c r="AV56" i="1" s="1"/>
  <c r="AU66" i="1"/>
  <c r="AV65" i="1"/>
  <c r="AW65" i="1" s="1"/>
  <c r="AX65" i="1" s="1"/>
  <c r="AO65" i="1"/>
  <c r="AT49" i="1"/>
  <c r="AU49" i="1" s="1"/>
  <c r="G27" i="3"/>
  <c r="G41" i="3" s="1"/>
  <c r="H41" i="3" s="1"/>
  <c r="AL57" i="1"/>
  <c r="AV57" i="1" s="1"/>
  <c r="AM56" i="1"/>
  <c r="AO66" i="1"/>
  <c r="AT50" i="1"/>
  <c r="AU50" i="1" s="1"/>
  <c r="AV50" i="1" s="1"/>
  <c r="AW50" i="1" s="1"/>
  <c r="AX50" i="1" s="1"/>
  <c r="AT59" i="1"/>
  <c r="AI68" i="1"/>
  <c r="AS68" i="1" s="1"/>
  <c r="AT68" i="1" s="1"/>
  <c r="AU68" i="1" s="1"/>
  <c r="AW56" i="1" l="1"/>
  <c r="AV43" i="1"/>
  <c r="AW43" i="1" s="1"/>
  <c r="AX43" i="1" s="1"/>
  <c r="AY43" i="1" s="1"/>
  <c r="G30" i="3"/>
  <c r="I42" i="3"/>
  <c r="AT15" i="1"/>
  <c r="G44" i="3"/>
  <c r="G43" i="3"/>
  <c r="AU14" i="1"/>
  <c r="AV42" i="1"/>
  <c r="AW42" i="1" s="1"/>
  <c r="AX42" i="1" s="1"/>
  <c r="AY42" i="1" s="1"/>
  <c r="I38" i="3"/>
  <c r="AU31" i="1"/>
  <c r="AT4" i="1"/>
  <c r="AV66" i="1"/>
  <c r="AW66" i="1" s="1"/>
  <c r="I26" i="3"/>
  <c r="AV49" i="1"/>
  <c r="AW49" i="1" s="1"/>
  <c r="AX49" i="1" s="1"/>
  <c r="AT16" i="1"/>
  <c r="I39" i="3"/>
  <c r="AY65" i="1"/>
  <c r="AZ65" i="1" s="1"/>
  <c r="BA65" i="1" s="1"/>
  <c r="AT23" i="1"/>
  <c r="AU6" i="1"/>
  <c r="G31" i="3"/>
  <c r="AX66" i="1"/>
  <c r="AY66" i="1" s="1"/>
  <c r="AZ66" i="1" s="1"/>
  <c r="BA66" i="1" s="1"/>
  <c r="I27" i="3"/>
  <c r="I41" i="3" s="1"/>
  <c r="AV32" i="1"/>
  <c r="AV5" i="1"/>
  <c r="H21" i="3"/>
  <c r="AU16" i="1" l="1"/>
  <c r="AU15" i="1"/>
  <c r="H31" i="3"/>
  <c r="H30" i="3"/>
  <c r="H35" i="3"/>
  <c r="AU4" i="1"/>
  <c r="I40" i="3"/>
  <c r="I30" i="3"/>
  <c r="I31" i="3"/>
  <c r="AV31" i="1"/>
  <c r="AV6" i="1"/>
  <c r="AU23" i="1"/>
  <c r="H44" i="3" l="1"/>
  <c r="H43" i="3"/>
  <c r="I35" i="3"/>
  <c r="AV23" i="1"/>
  <c r="AV4" i="1"/>
  <c r="I43" i="3" l="1"/>
  <c r="I44" i="3"/>
</calcChain>
</file>

<file path=xl/sharedStrings.xml><?xml version="1.0" encoding="utf-8"?>
<sst xmlns="http://schemas.openxmlformats.org/spreadsheetml/2006/main" count="726" uniqueCount="114">
  <si>
    <t>Day</t>
  </si>
  <si>
    <t>CD25+</t>
  </si>
  <si>
    <t>1/15</t>
  </si>
  <si>
    <t>Dynal</t>
  </si>
  <si>
    <t>1/35</t>
  </si>
  <si>
    <t>Exp</t>
  </si>
  <si>
    <t>13 left wells</t>
  </si>
  <si>
    <t>wells</t>
  </si>
  <si>
    <t>CD25-</t>
  </si>
  <si>
    <t>fold expansion</t>
  </si>
  <si>
    <t>Cumalitive fold</t>
  </si>
  <si>
    <t>total</t>
  </si>
  <si>
    <t>wells seeded</t>
  </si>
  <si>
    <t>seed day7</t>
  </si>
  <si>
    <t>wells used facs day 12</t>
  </si>
  <si>
    <t>remaining</t>
  </si>
  <si>
    <t>used</t>
  </si>
  <si>
    <t>post day13</t>
  </si>
  <si>
    <t>wells post 12</t>
  </si>
  <si>
    <t>restim</t>
  </si>
  <si>
    <t>SD</t>
  </si>
  <si>
    <t>Suppression data</t>
  </si>
  <si>
    <t>day 13</t>
  </si>
  <si>
    <t>% INHIBITION</t>
  </si>
  <si>
    <t>2:1</t>
  </si>
  <si>
    <t>1:1</t>
  </si>
  <si>
    <t>1:2</t>
  </si>
  <si>
    <t>1:4</t>
  </si>
  <si>
    <t>Expander</t>
  </si>
  <si>
    <t>post day 12</t>
  </si>
  <si>
    <t>d21= more accurate count</t>
  </si>
  <si>
    <t>Week 2</t>
  </si>
  <si>
    <t xml:space="preserve">CD25- </t>
  </si>
  <si>
    <t>post beads</t>
  </si>
  <si>
    <t>seeded</t>
  </si>
  <si>
    <t>Assay</t>
  </si>
  <si>
    <t>post assay</t>
  </si>
  <si>
    <t>pst assay</t>
  </si>
  <si>
    <t>14-15</t>
  </si>
  <si>
    <t>pst facs</t>
  </si>
  <si>
    <t>pre</t>
  </si>
  <si>
    <t>pst</t>
  </si>
  <si>
    <t>cells/well</t>
  </si>
  <si>
    <t>cells</t>
  </si>
  <si>
    <t>pstfacs</t>
  </si>
  <si>
    <t>pre-clinical 2</t>
  </si>
  <si>
    <t>AVG</t>
  </si>
  <si>
    <t>7(seeded)</t>
  </si>
  <si>
    <t>CD25+D</t>
  </si>
  <si>
    <t>CD25+Ex</t>
  </si>
  <si>
    <t>left</t>
  </si>
  <si>
    <t>line1</t>
  </si>
  <si>
    <t>line2</t>
  </si>
  <si>
    <t>line 3</t>
  </si>
  <si>
    <t>line 4</t>
  </si>
  <si>
    <t>pre-clinical1</t>
  </si>
  <si>
    <t>preclinical3</t>
  </si>
  <si>
    <t>post sup</t>
  </si>
  <si>
    <t>post facs</t>
  </si>
  <si>
    <t>post assess</t>
  </si>
  <si>
    <t>after FACS</t>
  </si>
  <si>
    <t>preclinical4</t>
  </si>
  <si>
    <t>*</t>
  </si>
  <si>
    <t>18mls</t>
  </si>
  <si>
    <t>9mls</t>
  </si>
  <si>
    <t>preclin4</t>
  </si>
  <si>
    <t>preclin2</t>
  </si>
  <si>
    <t>preclin3</t>
  </si>
  <si>
    <t>line4</t>
  </si>
  <si>
    <t>line3</t>
  </si>
  <si>
    <t>preclin1</t>
  </si>
  <si>
    <t>Preclin4</t>
  </si>
  <si>
    <t>Cumalitve growth</t>
  </si>
  <si>
    <t>suppression assay</t>
  </si>
  <si>
    <t>Treg:10k eff</t>
  </si>
  <si>
    <t>Treg:eff 10k (2:1)</t>
  </si>
  <si>
    <t>CD25+ F0(1000) Dynal</t>
  </si>
  <si>
    <t>Treg:eff 10k (1:1)</t>
  </si>
  <si>
    <t>Treg:eff 10k (1:2)</t>
  </si>
  <si>
    <t>Treg:eff 10k (1:4)</t>
  </si>
  <si>
    <t>Treg:eff 20k (2:1)</t>
  </si>
  <si>
    <t>CD25+ F0(1000) Ex</t>
  </si>
  <si>
    <t>Treg:eff 20k (1:1)</t>
  </si>
  <si>
    <t>Treg:eff 20k (1:2)</t>
  </si>
  <si>
    <t>Treg:eff 20k (1:4)</t>
  </si>
  <si>
    <t>%response</t>
  </si>
  <si>
    <t>%inhibition</t>
  </si>
  <si>
    <t>Ratio</t>
  </si>
  <si>
    <t>CD25- F0(1000) Ex</t>
  </si>
  <si>
    <t>CD25- F0(1000) 1in15 ex</t>
  </si>
  <si>
    <t>Week 3</t>
  </si>
  <si>
    <t>week3</t>
  </si>
  <si>
    <t>Preclin3</t>
  </si>
  <si>
    <t>Preclin2</t>
  </si>
  <si>
    <t>week2</t>
  </si>
  <si>
    <t>Preclin1</t>
  </si>
  <si>
    <t>CD25+ F0(1000) 1in15</t>
  </si>
  <si>
    <t>CD25+ F0(1000) 1in35</t>
  </si>
  <si>
    <t>CD25+ F0(1000) 1in15 ex</t>
  </si>
  <si>
    <t>Line4</t>
  </si>
  <si>
    <t>CD25- F0(1000) 1in15</t>
  </si>
  <si>
    <t>CD25- F0(1000) 1in35</t>
  </si>
  <si>
    <t>Line3</t>
  </si>
  <si>
    <t>Line2</t>
  </si>
  <si>
    <t>Line1</t>
  </si>
  <si>
    <t>2 weeks</t>
  </si>
  <si>
    <t>CD25+ 1/15 Dynal</t>
  </si>
  <si>
    <t>CD25+ 1/35 Dynal</t>
  </si>
  <si>
    <t>CD25+ 1/15 expander</t>
  </si>
  <si>
    <t>3 weeks</t>
  </si>
  <si>
    <t>CD25- 1/15 Dynal</t>
  </si>
  <si>
    <t>CD25- 1/35 Dynal</t>
  </si>
  <si>
    <t>CD25- 1/15 expander</t>
  </si>
  <si>
    <t>Days in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</si>
</sst>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quotePrefix="1"/>
    <xf numFmtId="14" fontId="0" fillId="0" borderId="0" xfId="0" applyNumberFormat="1"/>
    <xf numFmtId="0" fontId="3" fillId="0" borderId="0" xfId="0" applyFont="1"/>
    <xf numFmtId="17" fontId="0" fillId="0" borderId="0" xfId="0" quotePrefix="1" applyNumberFormat="1"/>
    <xf numFmtId="0" fontId="0" fillId="0" borderId="0" xfId="0" applyNumberFormat="1"/>
    <xf numFmtId="2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9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2694390932724858"/>
          <c:y val="3.8395761277503861E-2"/>
          <c:w val="0.61581087399704493"/>
          <c:h val="0.79831211519120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'fold and cumlative expansion'!$D$20:$E$20</c:f>
              <c:strCache>
                <c:ptCount val="2"/>
                <c:pt idx="0">
                  <c:v>CD25+</c:v>
                </c:pt>
                <c:pt idx="1">
                  <c:v>Dynal</c:v>
                </c:pt>
              </c:strCache>
            </c:strRef>
          </c:tx>
          <c:spPr>
            <a:ln w="28575"/>
          </c:spPr>
          <c:marker>
            <c:symbol val="diamond"/>
            <c:size val="12"/>
            <c:spPr>
              <a:noFill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'fold and cumlative expansion'!$F$31:$I$31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2.3806386698091089</c:v>
                  </c:pt>
                  <c:pt idx="2">
                    <c:v>3.4023924574255671</c:v>
                  </c:pt>
                  <c:pt idx="3">
                    <c:v>2.1956926300088804</c:v>
                  </c:pt>
                </c:numCache>
              </c:numRef>
            </c:plus>
            <c:minus>
              <c:numRef>
                <c:f>'fold and cumlative expansion'!$F$31:$I$31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2.3806386698091089</c:v>
                  </c:pt>
                  <c:pt idx="2">
                    <c:v>3.4023924574255671</c:v>
                  </c:pt>
                  <c:pt idx="3">
                    <c:v>2.1956926300088804</c:v>
                  </c:pt>
                </c:numCache>
              </c:numRef>
            </c:minus>
            <c:spPr>
              <a:ln w="25400"/>
            </c:spPr>
          </c:errBars>
          <c:xVal>
            <c:numRef>
              <c:f>'fold and cumlative expansion'!$F$20:$I$20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'fold and cumlative expansion'!$F$30:$I$30</c:f>
              <c:numCache>
                <c:formatCode>General</c:formatCode>
                <c:ptCount val="4"/>
                <c:pt idx="0">
                  <c:v>1</c:v>
                </c:pt>
                <c:pt idx="1">
                  <c:v>8.404166666666665</c:v>
                </c:pt>
                <c:pt idx="2">
                  <c:v>9.3095410230307323</c:v>
                </c:pt>
                <c:pt idx="3">
                  <c:v>3.3610806152259367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CD-0246-99BA-9398BFB30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429400"/>
        <c:axId val="-2131423928"/>
      </c:scatterChart>
      <c:valAx>
        <c:axId val="-2131429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weeks in culture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-2131423928"/>
        <c:crosses val="autoZero"/>
        <c:crossBetween val="midCat"/>
        <c:majorUnit val="1"/>
      </c:valAx>
      <c:valAx>
        <c:axId val="-2131423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Fold</a:t>
                </a:r>
                <a:r>
                  <a:rPr lang="en-US" sz="1200" baseline="0"/>
                  <a:t> expansion/week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-2131429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13857145529018"/>
          <c:y val="3.8395761277503861E-2"/>
          <c:w val="0.60611966259561978"/>
          <c:h val="0.79831211519120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'fold and cumlative expansion'!$D$20:$E$20</c:f>
              <c:strCache>
                <c:ptCount val="2"/>
                <c:pt idx="0">
                  <c:v>CD25+</c:v>
                </c:pt>
                <c:pt idx="1">
                  <c:v>Dynal</c:v>
                </c:pt>
              </c:strCache>
            </c:strRef>
          </c:tx>
          <c:spPr>
            <a:ln w="28575"/>
            <a:effectLst/>
          </c:spPr>
          <c:marker>
            <c:symbol val="diamond"/>
            <c:size val="12"/>
            <c:spPr>
              <a:noFill/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'fold and cumlative expansion'!$F$44:$I$44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2.3806386698091089</c:v>
                  </c:pt>
                  <c:pt idx="2">
                    <c:v>41.335374416282221</c:v>
                  </c:pt>
                  <c:pt idx="3">
                    <c:v>179.11252251479956</c:v>
                  </c:pt>
                </c:numCache>
              </c:numRef>
            </c:plus>
            <c:minus>
              <c:numRef>
                <c:f>'fold and cumlative expansion'!$F$44:$I$44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2.3806386698091089</c:v>
                  </c:pt>
                  <c:pt idx="2">
                    <c:v>41.335374416282221</c:v>
                  </c:pt>
                  <c:pt idx="3">
                    <c:v>179.11252251479956</c:v>
                  </c:pt>
                </c:numCache>
              </c:numRef>
            </c:minus>
            <c:spPr>
              <a:ln w="22225"/>
            </c:spPr>
          </c:errBars>
          <c:xVal>
            <c:numRef>
              <c:f>'fold and cumlative expansion'!$F$20:$I$20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'fold and cumlative expansion'!$F$43:$I$43</c:f>
              <c:numCache>
                <c:formatCode>General</c:formatCode>
                <c:ptCount val="4"/>
                <c:pt idx="0">
                  <c:v>1</c:v>
                </c:pt>
                <c:pt idx="1">
                  <c:v>8.404166666666665</c:v>
                </c:pt>
                <c:pt idx="2">
                  <c:v>82.782651089570507</c:v>
                </c:pt>
                <c:pt idx="3">
                  <c:v>293.68121889035956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83-194D-A0DC-28FC98666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100344"/>
        <c:axId val="-2146125000"/>
      </c:scatterChart>
      <c:valAx>
        <c:axId val="-213110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weeks in culture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-2146125000"/>
        <c:crosses val="autoZero"/>
        <c:crossBetween val="midCat"/>
        <c:majorUnit val="1"/>
      </c:valAx>
      <c:valAx>
        <c:axId val="-2146125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fold</a:t>
                </a:r>
                <a:r>
                  <a:rPr lang="en-US" sz="1200" baseline="0"/>
                  <a:t> expansion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2225"/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-213110034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</xdr:row>
      <xdr:rowOff>25400</xdr:rowOff>
    </xdr:from>
    <xdr:to>
      <xdr:col>16</xdr:col>
      <xdr:colOff>431800</xdr:colOff>
      <xdr:row>22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23</xdr:row>
      <xdr:rowOff>76200</xdr:rowOff>
    </xdr:from>
    <xdr:to>
      <xdr:col>16</xdr:col>
      <xdr:colOff>469900</xdr:colOff>
      <xdr:row>43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Y167"/>
  <sheetViews>
    <sheetView topLeftCell="A19" zoomScale="50" zoomScaleNormal="50" workbookViewId="0">
      <selection activeCell="A49" sqref="A49"/>
    </sheetView>
  </sheetViews>
  <sheetFormatPr baseColWidth="10" defaultRowHeight="16" x14ac:dyDescent="0.2"/>
  <cols>
    <col min="69" max="69" width="14" customWidth="1"/>
    <col min="70" max="71" width="13" customWidth="1"/>
    <col min="74" max="74" width="13.33203125" customWidth="1"/>
    <col min="75" max="75" width="14.1640625" customWidth="1"/>
    <col min="88" max="88" width="14.5" customWidth="1"/>
    <col min="89" max="89" width="13.5" customWidth="1"/>
    <col min="90" max="90" width="13.1640625" customWidth="1"/>
    <col min="133" max="133" width="12" customWidth="1"/>
    <col min="134" max="134" width="15.33203125" customWidth="1"/>
  </cols>
  <sheetData>
    <row r="2" spans="1:101" x14ac:dyDescent="0.2">
      <c r="A2" s="2">
        <v>42440</v>
      </c>
      <c r="B2" t="s">
        <v>51</v>
      </c>
      <c r="D2" t="s">
        <v>113</v>
      </c>
      <c r="J2" t="s">
        <v>19</v>
      </c>
      <c r="AH2" t="s">
        <v>9</v>
      </c>
      <c r="AR2" t="s">
        <v>10</v>
      </c>
    </row>
    <row r="3" spans="1:101" x14ac:dyDescent="0.2">
      <c r="A3" t="s">
        <v>0</v>
      </c>
      <c r="D3">
        <v>0</v>
      </c>
      <c r="E3">
        <v>7</v>
      </c>
      <c r="F3">
        <v>12</v>
      </c>
      <c r="G3" t="s">
        <v>7</v>
      </c>
      <c r="H3" t="s">
        <v>18</v>
      </c>
      <c r="I3" t="s">
        <v>15</v>
      </c>
      <c r="J3" t="s">
        <v>12</v>
      </c>
      <c r="K3" t="s">
        <v>11</v>
      </c>
      <c r="L3">
        <v>13</v>
      </c>
      <c r="M3" t="s">
        <v>7</v>
      </c>
      <c r="N3" t="s">
        <v>6</v>
      </c>
      <c r="P3" t="s">
        <v>11</v>
      </c>
      <c r="Q3">
        <v>21</v>
      </c>
      <c r="AH3">
        <v>0</v>
      </c>
      <c r="AI3">
        <v>7</v>
      </c>
      <c r="AJ3">
        <v>12</v>
      </c>
      <c r="AK3">
        <v>13</v>
      </c>
      <c r="AL3">
        <v>21</v>
      </c>
      <c r="AR3">
        <v>0</v>
      </c>
      <c r="AS3">
        <v>7</v>
      </c>
      <c r="AT3">
        <v>12</v>
      </c>
      <c r="AU3">
        <v>13</v>
      </c>
      <c r="AV3">
        <v>21</v>
      </c>
      <c r="BF3" s="4"/>
      <c r="BI3" s="4"/>
    </row>
    <row r="4" spans="1:101" x14ac:dyDescent="0.2">
      <c r="A4" t="s">
        <v>1</v>
      </c>
      <c r="B4" s="1" t="s">
        <v>2</v>
      </c>
      <c r="C4" t="s">
        <v>3</v>
      </c>
      <c r="D4">
        <v>0.3</v>
      </c>
      <c r="E4">
        <v>2.36</v>
      </c>
      <c r="F4">
        <f>5.2*0.1*G4</f>
        <v>9.36</v>
      </c>
      <c r="G4">
        <v>18</v>
      </c>
      <c r="H4">
        <f>M4+N4</f>
        <v>15</v>
      </c>
      <c r="I4">
        <f>5.2*0.1*H4</f>
        <v>7.8000000000000007</v>
      </c>
      <c r="J4">
        <v>9</v>
      </c>
      <c r="K4">
        <f>J4*0.1</f>
        <v>0.9</v>
      </c>
      <c r="L4">
        <v>2.12</v>
      </c>
      <c r="M4">
        <v>6</v>
      </c>
      <c r="N4">
        <v>9</v>
      </c>
      <c r="O4">
        <f>(L4/M4)*N4</f>
        <v>3.18</v>
      </c>
      <c r="P4">
        <f>O4+L4</f>
        <v>5.3000000000000007</v>
      </c>
      <c r="Q4">
        <v>13.6</v>
      </c>
      <c r="AH4">
        <v>1</v>
      </c>
      <c r="AI4">
        <f>E4/D4</f>
        <v>7.8666666666666663</v>
      </c>
      <c r="AJ4">
        <f>F4/K4</f>
        <v>10.399999999999999</v>
      </c>
      <c r="AK4">
        <f>P4/I4</f>
        <v>0.67948717948717952</v>
      </c>
      <c r="AL4">
        <f>Q4/O4</f>
        <v>4.2767295597484276</v>
      </c>
      <c r="AR4">
        <f>AH4</f>
        <v>1</v>
      </c>
      <c r="AS4">
        <f t="shared" ref="AS4:AS6" si="0">AI4*AR4</f>
        <v>7.8666666666666663</v>
      </c>
      <c r="AT4">
        <f t="shared" ref="AT4:AV6" si="1">AJ4*AS4</f>
        <v>81.813333333333318</v>
      </c>
      <c r="AU4">
        <f t="shared" si="1"/>
        <v>55.591111111111104</v>
      </c>
      <c r="AV4">
        <f t="shared" si="1"/>
        <v>237.74814814814812</v>
      </c>
    </row>
    <row r="5" spans="1:101" x14ac:dyDescent="0.2">
      <c r="A5" t="s">
        <v>1</v>
      </c>
      <c r="B5" s="1" t="s">
        <v>4</v>
      </c>
      <c r="C5" t="s">
        <v>3</v>
      </c>
      <c r="D5">
        <v>0.2</v>
      </c>
      <c r="E5">
        <v>1.4</v>
      </c>
      <c r="F5">
        <f>4.8*0.1*G5</f>
        <v>10.559999999999999</v>
      </c>
      <c r="G5">
        <v>22</v>
      </c>
      <c r="H5">
        <f>M5+N5</f>
        <v>19</v>
      </c>
      <c r="I5">
        <f>5.2*0.1*H5</f>
        <v>9.8800000000000008</v>
      </c>
      <c r="J5">
        <v>11</v>
      </c>
      <c r="K5">
        <f>J5*0.1</f>
        <v>1.1000000000000001</v>
      </c>
      <c r="L5">
        <v>3.56</v>
      </c>
      <c r="M5">
        <v>5</v>
      </c>
      <c r="N5">
        <v>14</v>
      </c>
      <c r="O5">
        <f>(L5/M5)*N5</f>
        <v>9.968</v>
      </c>
      <c r="P5">
        <f>O5+L5</f>
        <v>13.528</v>
      </c>
      <c r="Q5">
        <v>17</v>
      </c>
      <c r="AH5">
        <v>1</v>
      </c>
      <c r="AI5">
        <f>E5/D5</f>
        <v>6.9999999999999991</v>
      </c>
      <c r="AJ5">
        <f>F5/K5</f>
        <v>9.5999999999999979</v>
      </c>
      <c r="AK5">
        <f>P5/I5</f>
        <v>1.3692307692307693</v>
      </c>
      <c r="AL5">
        <f>Q5/O5</f>
        <v>1.7054574638844302</v>
      </c>
      <c r="AR5">
        <f>AH5</f>
        <v>1</v>
      </c>
      <c r="AS5">
        <f t="shared" si="0"/>
        <v>6.9999999999999991</v>
      </c>
      <c r="AT5">
        <f t="shared" si="1"/>
        <v>67.199999999999974</v>
      </c>
      <c r="AU5">
        <f t="shared" si="1"/>
        <v>92.012307692307658</v>
      </c>
      <c r="AV5">
        <f t="shared" si="1"/>
        <v>156.92307692307688</v>
      </c>
    </row>
    <row r="6" spans="1:101" x14ac:dyDescent="0.2">
      <c r="A6" t="s">
        <v>1</v>
      </c>
      <c r="B6" s="1" t="s">
        <v>2</v>
      </c>
      <c r="C6" t="s">
        <v>5</v>
      </c>
      <c r="D6">
        <v>0.2</v>
      </c>
      <c r="E6">
        <v>1.1599999999999999</v>
      </c>
      <c r="F6">
        <f>6.4*0.1*G6</f>
        <v>15.360000000000003</v>
      </c>
      <c r="G6">
        <v>24</v>
      </c>
      <c r="H6">
        <f>M6+N6</f>
        <v>22</v>
      </c>
      <c r="I6">
        <f>5.2*0.1*H6</f>
        <v>11.440000000000001</v>
      </c>
      <c r="J6">
        <v>12</v>
      </c>
      <c r="K6">
        <f>J6*0.1</f>
        <v>1.2000000000000002</v>
      </c>
      <c r="L6">
        <v>1.52</v>
      </c>
      <c r="M6">
        <v>4</v>
      </c>
      <c r="N6">
        <v>18</v>
      </c>
      <c r="O6">
        <f t="shared" ref="O6:O10" si="2">(L6/M6)*N6</f>
        <v>6.84</v>
      </c>
      <c r="P6">
        <f>O6+L6</f>
        <v>8.36</v>
      </c>
      <c r="Q6">
        <v>13.8</v>
      </c>
      <c r="AH6">
        <v>1</v>
      </c>
      <c r="AI6">
        <f>E6/D6</f>
        <v>5.7999999999999989</v>
      </c>
      <c r="AJ6">
        <f>F6/K6</f>
        <v>12.8</v>
      </c>
      <c r="AK6">
        <f>P6/I6</f>
        <v>0.73076923076923062</v>
      </c>
      <c r="AL6">
        <f>Q6/O6</f>
        <v>2.0175438596491229</v>
      </c>
      <c r="AR6">
        <f>AH6</f>
        <v>1</v>
      </c>
      <c r="AS6">
        <f t="shared" si="0"/>
        <v>5.7999999999999989</v>
      </c>
      <c r="AT6">
        <f t="shared" si="1"/>
        <v>74.239999999999995</v>
      </c>
      <c r="AU6">
        <f t="shared" si="1"/>
        <v>54.252307692307674</v>
      </c>
      <c r="AV6">
        <f t="shared" si="1"/>
        <v>109.45641025641022</v>
      </c>
    </row>
    <row r="8" spans="1:101" x14ac:dyDescent="0.2">
      <c r="A8" t="s">
        <v>8</v>
      </c>
      <c r="B8" s="1" t="s">
        <v>2</v>
      </c>
      <c r="C8" t="s">
        <v>3</v>
      </c>
      <c r="D8">
        <v>0.3</v>
      </c>
      <c r="E8">
        <v>2.48</v>
      </c>
      <c r="F8">
        <f>3*0.1*10</f>
        <v>3.0000000000000004</v>
      </c>
      <c r="J8">
        <v>5</v>
      </c>
      <c r="K8">
        <f>J8*0.1</f>
        <v>0.5</v>
      </c>
      <c r="L8">
        <v>2.44</v>
      </c>
      <c r="M8">
        <v>5</v>
      </c>
      <c r="N8">
        <v>3</v>
      </c>
      <c r="O8">
        <f t="shared" si="2"/>
        <v>1.464</v>
      </c>
      <c r="P8">
        <f>O8+L8</f>
        <v>3.9039999999999999</v>
      </c>
      <c r="Q8">
        <v>9.3000000000000007</v>
      </c>
      <c r="AH8">
        <v>1</v>
      </c>
      <c r="AI8">
        <f>E8/D8</f>
        <v>8.2666666666666675</v>
      </c>
      <c r="AJ8">
        <f>F8/K8</f>
        <v>6.0000000000000009</v>
      </c>
      <c r="AK8">
        <f>P8/K8</f>
        <v>7.8079999999999998</v>
      </c>
      <c r="AL8">
        <f>Q8/O8</f>
        <v>6.3524590163934436</v>
      </c>
      <c r="AR8">
        <f>AH8</f>
        <v>1</v>
      </c>
      <c r="AS8">
        <f t="shared" ref="AS8:AS10" si="3">AI8*AR8</f>
        <v>8.2666666666666675</v>
      </c>
      <c r="AT8">
        <f t="shared" ref="AT8:AU10" si="4">AK8*AS8</f>
        <v>64.546133333333344</v>
      </c>
      <c r="AU8">
        <f t="shared" si="4"/>
        <v>410.02666666666681</v>
      </c>
    </row>
    <row r="9" spans="1:101" x14ac:dyDescent="0.2">
      <c r="A9" t="s">
        <v>8</v>
      </c>
      <c r="B9" s="1" t="s">
        <v>4</v>
      </c>
      <c r="C9" t="s">
        <v>3</v>
      </c>
      <c r="D9">
        <v>0.3</v>
      </c>
      <c r="E9">
        <v>3.44</v>
      </c>
      <c r="F9">
        <f>3.9*0.1*10</f>
        <v>3.9000000000000004</v>
      </c>
      <c r="J9">
        <v>5</v>
      </c>
      <c r="K9">
        <f>J9*0.1</f>
        <v>0.5</v>
      </c>
      <c r="L9">
        <v>0.76</v>
      </c>
      <c r="M9">
        <v>4</v>
      </c>
      <c r="N9">
        <v>2</v>
      </c>
      <c r="O9">
        <f t="shared" si="2"/>
        <v>0.38</v>
      </c>
      <c r="P9">
        <f>O9+L9</f>
        <v>1.1400000000000001</v>
      </c>
      <c r="Q9">
        <v>4.08</v>
      </c>
      <c r="AH9">
        <v>1</v>
      </c>
      <c r="AI9">
        <f>E9/D9</f>
        <v>11.466666666666667</v>
      </c>
      <c r="AJ9">
        <f>F9/K9</f>
        <v>7.8000000000000007</v>
      </c>
      <c r="AK9">
        <f>P9/K9</f>
        <v>2.2800000000000002</v>
      </c>
      <c r="AL9">
        <f>Q9/O9</f>
        <v>10.736842105263158</v>
      </c>
      <c r="AR9">
        <f>AH9</f>
        <v>1</v>
      </c>
      <c r="AS9">
        <f t="shared" si="3"/>
        <v>11.466666666666667</v>
      </c>
      <c r="AT9">
        <f t="shared" si="4"/>
        <v>26.144000000000002</v>
      </c>
      <c r="AU9">
        <f t="shared" si="4"/>
        <v>280.70400000000001</v>
      </c>
    </row>
    <row r="10" spans="1:101" x14ac:dyDescent="0.2">
      <c r="A10" t="s">
        <v>8</v>
      </c>
      <c r="B10" s="1" t="s">
        <v>2</v>
      </c>
      <c r="C10" t="s">
        <v>5</v>
      </c>
      <c r="D10">
        <v>0.3</v>
      </c>
      <c r="E10">
        <v>1.52</v>
      </c>
      <c r="F10">
        <f>5.1*0.1*10</f>
        <v>5.0999999999999996</v>
      </c>
      <c r="J10">
        <v>5</v>
      </c>
      <c r="K10">
        <f>J10*0.1</f>
        <v>0.5</v>
      </c>
      <c r="L10">
        <v>0.6</v>
      </c>
      <c r="M10">
        <v>4</v>
      </c>
      <c r="N10">
        <v>4</v>
      </c>
      <c r="O10">
        <f t="shared" si="2"/>
        <v>0.6</v>
      </c>
      <c r="P10">
        <f>O10+L10</f>
        <v>1.2</v>
      </c>
      <c r="Q10">
        <v>9.2799999999999994</v>
      </c>
      <c r="AH10">
        <v>1</v>
      </c>
      <c r="AI10">
        <f>E10/D10</f>
        <v>5.0666666666666673</v>
      </c>
      <c r="AJ10">
        <f>F10/K10</f>
        <v>10.199999999999999</v>
      </c>
      <c r="AK10">
        <f>P10/K10</f>
        <v>2.4</v>
      </c>
      <c r="AL10">
        <f>Q10/O10</f>
        <v>15.466666666666667</v>
      </c>
      <c r="AR10">
        <f>AH10</f>
        <v>1</v>
      </c>
      <c r="AS10">
        <f t="shared" si="3"/>
        <v>5.0666666666666673</v>
      </c>
      <c r="AT10">
        <f t="shared" si="4"/>
        <v>12.160000000000002</v>
      </c>
      <c r="AU10">
        <f t="shared" si="4"/>
        <v>188.0746666666667</v>
      </c>
    </row>
    <row r="12" spans="1:101" x14ac:dyDescent="0.2">
      <c r="A12" s="2">
        <v>42468</v>
      </c>
      <c r="B12" t="s">
        <v>52</v>
      </c>
    </row>
    <row r="13" spans="1:101" x14ac:dyDescent="0.2">
      <c r="A13" t="s">
        <v>0</v>
      </c>
      <c r="D13">
        <v>0</v>
      </c>
      <c r="E13">
        <v>7</v>
      </c>
      <c r="F13">
        <v>12</v>
      </c>
      <c r="H13">
        <v>13</v>
      </c>
      <c r="I13">
        <v>14</v>
      </c>
      <c r="J13" t="s">
        <v>13</v>
      </c>
      <c r="M13">
        <v>21</v>
      </c>
      <c r="AH13">
        <v>0</v>
      </c>
      <c r="AI13">
        <v>7</v>
      </c>
      <c r="AJ13">
        <v>12</v>
      </c>
      <c r="AK13">
        <v>21</v>
      </c>
      <c r="AR13">
        <v>0</v>
      </c>
      <c r="AS13">
        <v>7</v>
      </c>
      <c r="AT13">
        <v>12</v>
      </c>
      <c r="AU13">
        <v>21</v>
      </c>
      <c r="BF13" s="4"/>
      <c r="BI13" s="4"/>
      <c r="CT13" s="3"/>
      <c r="CU13" s="3"/>
      <c r="CV13" s="3"/>
      <c r="CW13" s="3"/>
    </row>
    <row r="14" spans="1:101" x14ac:dyDescent="0.2">
      <c r="A14" t="s">
        <v>1</v>
      </c>
      <c r="B14" s="1" t="s">
        <v>2</v>
      </c>
      <c r="C14" t="s">
        <v>3</v>
      </c>
      <c r="D14">
        <v>0.1</v>
      </c>
      <c r="E14">
        <f>22*0.02*1</f>
        <v>0.44</v>
      </c>
      <c r="F14">
        <v>1.59</v>
      </c>
      <c r="G14">
        <v>9</v>
      </c>
      <c r="H14">
        <v>3</v>
      </c>
      <c r="I14">
        <v>1</v>
      </c>
      <c r="J14">
        <v>4</v>
      </c>
      <c r="K14">
        <v>0.443</v>
      </c>
      <c r="L14">
        <v>5</v>
      </c>
      <c r="M14">
        <f>31*0.02*(0.1*(L14+I14+H14))</f>
        <v>0.55800000000000005</v>
      </c>
      <c r="AH14">
        <v>1</v>
      </c>
      <c r="AI14">
        <f>E14/D14</f>
        <v>4.3999999999999995</v>
      </c>
      <c r="AJ14">
        <f>F14/K14</f>
        <v>3.5891647855530477</v>
      </c>
      <c r="AK14">
        <f>M14/F14</f>
        <v>0.35094339622641513</v>
      </c>
      <c r="AR14">
        <f>AH14</f>
        <v>1</v>
      </c>
      <c r="AS14">
        <f t="shared" ref="AS14:AU16" si="5">AI14*AR14</f>
        <v>4.3999999999999995</v>
      </c>
      <c r="AT14">
        <f t="shared" si="5"/>
        <v>15.792325056433409</v>
      </c>
      <c r="AU14">
        <f t="shared" si="5"/>
        <v>5.5422121896162535</v>
      </c>
    </row>
    <row r="15" spans="1:101" x14ac:dyDescent="0.2">
      <c r="A15" t="s">
        <v>1</v>
      </c>
      <c r="B15" s="1" t="s">
        <v>4</v>
      </c>
      <c r="C15" t="s">
        <v>3</v>
      </c>
      <c r="D15">
        <v>7.4999999999999997E-2</v>
      </c>
      <c r="E15">
        <f>6*0.02</f>
        <v>0.12</v>
      </c>
      <c r="F15">
        <v>0.52400000000000002</v>
      </c>
      <c r="G15">
        <v>2</v>
      </c>
      <c r="H15">
        <v>1</v>
      </c>
      <c r="I15">
        <v>0.5</v>
      </c>
      <c r="J15">
        <v>1</v>
      </c>
      <c r="K15">
        <v>7.3999999999999996E-2</v>
      </c>
      <c r="L15">
        <v>1</v>
      </c>
      <c r="M15">
        <f>0.78*0.1*(L15+I15*H15)</f>
        <v>0.11700000000000002</v>
      </c>
      <c r="AH15">
        <v>1</v>
      </c>
      <c r="AI15">
        <f>E15/D15</f>
        <v>1.6</v>
      </c>
      <c r="AJ15">
        <f>F15/K15</f>
        <v>7.0810810810810816</v>
      </c>
      <c r="AK15">
        <f>M15/F15</f>
        <v>0.22328244274809164</v>
      </c>
      <c r="AR15">
        <f>AH15</f>
        <v>1</v>
      </c>
      <c r="AS15">
        <f t="shared" si="5"/>
        <v>1.6</v>
      </c>
      <c r="AT15">
        <f t="shared" si="5"/>
        <v>11.329729729729731</v>
      </c>
      <c r="AU15">
        <f t="shared" si="5"/>
        <v>2.5297297297297305</v>
      </c>
    </row>
    <row r="16" spans="1:101" x14ac:dyDescent="0.2">
      <c r="A16" t="s">
        <v>1</v>
      </c>
      <c r="B16" s="1" t="s">
        <v>2</v>
      </c>
      <c r="C16" t="s">
        <v>5</v>
      </c>
      <c r="D16">
        <v>0.1</v>
      </c>
      <c r="E16">
        <f>21*0.02*1</f>
        <v>0.42</v>
      </c>
      <c r="F16">
        <v>2.6</v>
      </c>
      <c r="G16">
        <v>13</v>
      </c>
      <c r="H16">
        <v>3</v>
      </c>
      <c r="I16">
        <v>1</v>
      </c>
      <c r="J16">
        <v>3</v>
      </c>
      <c r="K16">
        <v>0.34499999999999997</v>
      </c>
      <c r="L16">
        <v>10</v>
      </c>
      <c r="M16">
        <f>1.58*0.1*(L16+I16+H16)</f>
        <v>2.2120000000000006</v>
      </c>
      <c r="AH16">
        <v>1</v>
      </c>
      <c r="AI16">
        <f>E16/D16</f>
        <v>4.1999999999999993</v>
      </c>
      <c r="AJ16">
        <f>F16/K16</f>
        <v>7.5362318840579716</v>
      </c>
      <c r="AK16">
        <f>M16/F16</f>
        <v>0.85076923076923094</v>
      </c>
      <c r="AR16">
        <f>AH16</f>
        <v>1</v>
      </c>
      <c r="AS16">
        <f t="shared" si="5"/>
        <v>4.1999999999999993</v>
      </c>
      <c r="AT16">
        <f t="shared" si="5"/>
        <v>31.652173913043477</v>
      </c>
      <c r="AU16">
        <f t="shared" si="5"/>
        <v>26.928695652173918</v>
      </c>
    </row>
    <row r="18" spans="1:69" x14ac:dyDescent="0.2">
      <c r="A18" t="s">
        <v>8</v>
      </c>
      <c r="B18" s="1" t="s">
        <v>2</v>
      </c>
      <c r="C18" t="s">
        <v>3</v>
      </c>
      <c r="D18">
        <v>0.3</v>
      </c>
      <c r="E18">
        <f>61*0.02*2</f>
        <v>2.44</v>
      </c>
      <c r="F18">
        <v>10</v>
      </c>
      <c r="AH18">
        <v>1</v>
      </c>
      <c r="AI18">
        <f t="shared" ref="AI18:AJ20" si="6">E18/D18</f>
        <v>8.1333333333333329</v>
      </c>
      <c r="AJ18">
        <f t="shared" si="6"/>
        <v>4.0983606557377046</v>
      </c>
      <c r="AR18">
        <f>AH18</f>
        <v>1</v>
      </c>
      <c r="AS18">
        <f t="shared" ref="AS18:AT20" si="7">AI18*AR18</f>
        <v>8.1333333333333329</v>
      </c>
      <c r="AT18">
        <f t="shared" si="7"/>
        <v>33.333333333333329</v>
      </c>
    </row>
    <row r="19" spans="1:69" x14ac:dyDescent="0.2">
      <c r="A19" t="s">
        <v>8</v>
      </c>
      <c r="B19" s="1" t="s">
        <v>4</v>
      </c>
      <c r="C19" t="s">
        <v>3</v>
      </c>
      <c r="D19">
        <v>0.3</v>
      </c>
      <c r="E19">
        <f>56*0.02*2</f>
        <v>2.2400000000000002</v>
      </c>
      <c r="F19">
        <v>6.48</v>
      </c>
      <c r="AH19">
        <v>1</v>
      </c>
      <c r="AI19">
        <f t="shared" si="6"/>
        <v>7.4666666666666677</v>
      </c>
      <c r="AJ19">
        <f t="shared" si="6"/>
        <v>2.8928571428571428</v>
      </c>
      <c r="AR19">
        <f>AH19</f>
        <v>1</v>
      </c>
      <c r="AS19">
        <f t="shared" si="7"/>
        <v>7.4666666666666677</v>
      </c>
      <c r="AT19">
        <f t="shared" si="7"/>
        <v>21.6</v>
      </c>
    </row>
    <row r="20" spans="1:69" x14ac:dyDescent="0.2">
      <c r="A20" t="s">
        <v>8</v>
      </c>
      <c r="B20" s="1" t="s">
        <v>2</v>
      </c>
      <c r="C20" t="s">
        <v>5</v>
      </c>
      <c r="D20">
        <v>0.3</v>
      </c>
      <c r="E20">
        <f>53*0.02*2</f>
        <v>2.12</v>
      </c>
      <c r="F20">
        <v>9.35</v>
      </c>
      <c r="AH20">
        <v>1</v>
      </c>
      <c r="AI20">
        <f t="shared" si="6"/>
        <v>7.0666666666666673</v>
      </c>
      <c r="AJ20">
        <f t="shared" si="6"/>
        <v>4.4103773584905657</v>
      </c>
      <c r="AR20">
        <f>AH20</f>
        <v>1</v>
      </c>
      <c r="AS20">
        <f t="shared" si="7"/>
        <v>7.0666666666666673</v>
      </c>
      <c r="AT20">
        <f t="shared" si="7"/>
        <v>31.166666666666668</v>
      </c>
    </row>
    <row r="21" spans="1:69" x14ac:dyDescent="0.2">
      <c r="N21" t="s">
        <v>30</v>
      </c>
    </row>
    <row r="22" spans="1:69" x14ac:dyDescent="0.2">
      <c r="A22" s="2">
        <v>42488</v>
      </c>
      <c r="B22" t="s">
        <v>53</v>
      </c>
      <c r="H22" t="s">
        <v>14</v>
      </c>
      <c r="I22" t="s">
        <v>15</v>
      </c>
      <c r="J22">
        <v>13</v>
      </c>
      <c r="K22" t="s">
        <v>16</v>
      </c>
      <c r="L22" t="s">
        <v>17</v>
      </c>
      <c r="M22">
        <v>20</v>
      </c>
      <c r="N22">
        <v>21</v>
      </c>
      <c r="AH22">
        <v>0</v>
      </c>
      <c r="AI22">
        <v>7</v>
      </c>
      <c r="AJ22">
        <v>12</v>
      </c>
      <c r="AK22">
        <v>13</v>
      </c>
      <c r="AL22">
        <v>21</v>
      </c>
      <c r="AR22">
        <v>0</v>
      </c>
      <c r="AS22">
        <v>7</v>
      </c>
      <c r="AT22">
        <v>12</v>
      </c>
      <c r="AU22">
        <v>13</v>
      </c>
      <c r="AV22">
        <v>21</v>
      </c>
      <c r="BF22" s="4"/>
      <c r="BI22" s="4"/>
    </row>
    <row r="23" spans="1:69" x14ac:dyDescent="0.2">
      <c r="A23" t="s">
        <v>1</v>
      </c>
      <c r="B23" s="1" t="s">
        <v>2</v>
      </c>
      <c r="C23" t="s">
        <v>3</v>
      </c>
      <c r="D23">
        <v>0.1</v>
      </c>
      <c r="E23">
        <f>49*0.02</f>
        <v>0.98</v>
      </c>
      <c r="F23">
        <v>3.42</v>
      </c>
      <c r="G23">
        <v>0.6</v>
      </c>
      <c r="H23">
        <v>1.5</v>
      </c>
      <c r="I23">
        <f>2.85*0.1*(12-H23)</f>
        <v>2.9925000000000002</v>
      </c>
      <c r="J23">
        <f>(0.96/3)*21</f>
        <v>6.72</v>
      </c>
      <c r="K23">
        <v>3</v>
      </c>
      <c r="L23">
        <f>0.96/3*(21-3)</f>
        <v>5.76</v>
      </c>
      <c r="M23">
        <v>31</v>
      </c>
      <c r="N23">
        <v>19.600000000000001</v>
      </c>
      <c r="AH23">
        <v>1</v>
      </c>
      <c r="AI23">
        <f t="shared" ref="AI23" si="8">E23/D23</f>
        <v>9.7999999999999989</v>
      </c>
      <c r="AJ23">
        <f>F23/G23</f>
        <v>5.7</v>
      </c>
      <c r="AK23">
        <f>J23/I23</f>
        <v>2.2456140350877192</v>
      </c>
      <c r="AL23">
        <f>N23/L23</f>
        <v>3.4027777777777781</v>
      </c>
      <c r="AR23">
        <f>AH23</f>
        <v>1</v>
      </c>
      <c r="AS23">
        <f t="shared" ref="AS23" si="9">AI23*AR23</f>
        <v>9.7999999999999989</v>
      </c>
      <c r="AT23">
        <f>AJ23*AS23</f>
        <v>55.859999999999992</v>
      </c>
      <c r="AU23">
        <f>AK23*AT23</f>
        <v>125.43999999999997</v>
      </c>
      <c r="AV23">
        <f>AL23*AU23</f>
        <v>426.84444444444438</v>
      </c>
    </row>
    <row r="27" spans="1:69" x14ac:dyDescent="0.2">
      <c r="A27" t="s">
        <v>8</v>
      </c>
      <c r="B27" s="1" t="s">
        <v>2</v>
      </c>
      <c r="C27" t="s">
        <v>3</v>
      </c>
      <c r="D27">
        <v>0.3</v>
      </c>
      <c r="E27">
        <f>74*5/2*0.02</f>
        <v>3.7</v>
      </c>
      <c r="F27">
        <v>10.56</v>
      </c>
      <c r="G27">
        <v>1.988</v>
      </c>
      <c r="I27">
        <f>F27</f>
        <v>10.56</v>
      </c>
      <c r="J27">
        <f>(0.68/4)*88</f>
        <v>14.96</v>
      </c>
      <c r="K27">
        <v>4</v>
      </c>
      <c r="L27">
        <f>0.68/4*(88-4)</f>
        <v>14.280000000000001</v>
      </c>
      <c r="M27">
        <v>61.2</v>
      </c>
      <c r="N27">
        <v>74.400000000000006</v>
      </c>
      <c r="AH27">
        <v>1</v>
      </c>
      <c r="AI27">
        <f t="shared" ref="AI27" si="10">E27/D27</f>
        <v>12.333333333333334</v>
      </c>
      <c r="AJ27">
        <f>F27/G27</f>
        <v>5.3118712273641853</v>
      </c>
      <c r="AK27">
        <f>J27/I27</f>
        <v>1.4166666666666667</v>
      </c>
      <c r="AL27">
        <f>N27/L27</f>
        <v>5.2100840336134455</v>
      </c>
      <c r="AR27">
        <f>AH27</f>
        <v>1</v>
      </c>
      <c r="AS27">
        <f t="shared" ref="AS27" si="11">AI27*AR27</f>
        <v>12.333333333333334</v>
      </c>
      <c r="AT27">
        <f>AJ27*AS27</f>
        <v>65.513078470824951</v>
      </c>
      <c r="AU27">
        <f>AK27*AT27</f>
        <v>92.810194500335356</v>
      </c>
      <c r="AV27">
        <f>AL27*AU27</f>
        <v>483.54891252275564</v>
      </c>
    </row>
    <row r="28" spans="1:69" x14ac:dyDescent="0.2">
      <c r="B28" s="1"/>
    </row>
    <row r="30" spans="1:69" x14ac:dyDescent="0.2">
      <c r="A30" s="2">
        <v>42496</v>
      </c>
      <c r="B30" t="s">
        <v>54</v>
      </c>
      <c r="G30" t="s">
        <v>34</v>
      </c>
      <c r="H30" t="s">
        <v>29</v>
      </c>
      <c r="I30">
        <v>13</v>
      </c>
      <c r="N30">
        <v>21</v>
      </c>
      <c r="AR30" s="3">
        <v>0</v>
      </c>
      <c r="AS30" s="3">
        <v>7</v>
      </c>
      <c r="AT30">
        <v>12</v>
      </c>
      <c r="AU30">
        <v>13</v>
      </c>
      <c r="AV30">
        <v>21</v>
      </c>
      <c r="BF30" s="4"/>
    </row>
    <row r="31" spans="1:69" x14ac:dyDescent="0.2">
      <c r="A31" t="s">
        <v>1</v>
      </c>
      <c r="B31" s="1" t="s">
        <v>2</v>
      </c>
      <c r="C31" t="s">
        <v>3</v>
      </c>
      <c r="D31">
        <v>0.1</v>
      </c>
      <c r="E31">
        <v>0.84</v>
      </c>
      <c r="F31">
        <v>4.3499999999999996</v>
      </c>
      <c r="G31" s="3">
        <v>0.51</v>
      </c>
      <c r="H31">
        <v>3.915</v>
      </c>
      <c r="I31">
        <f>79*5/2*0.02*0.1*15</f>
        <v>5.9250000000000007</v>
      </c>
      <c r="J31">
        <v>5</v>
      </c>
      <c r="K31">
        <v>0.51</v>
      </c>
      <c r="N31">
        <f>84*0.02*8</f>
        <v>13.44</v>
      </c>
      <c r="AH31">
        <v>1</v>
      </c>
      <c r="AI31">
        <f t="shared" ref="AI31" si="12">E31/D31</f>
        <v>8.3999999999999986</v>
      </c>
      <c r="AJ31">
        <f>F31/G31</f>
        <v>8.5294117647058822</v>
      </c>
      <c r="AK31">
        <f>I31/H31</f>
        <v>1.5134099616858239</v>
      </c>
      <c r="AL31">
        <f>N31/I31</f>
        <v>2.2683544303797465</v>
      </c>
      <c r="AR31">
        <f t="shared" ref="AR31:AR33" si="13">AH31</f>
        <v>1</v>
      </c>
      <c r="AS31">
        <f t="shared" ref="AS31:AV33" si="14">AI31*AR31</f>
        <v>8.3999999999999986</v>
      </c>
      <c r="AT31">
        <f t="shared" si="14"/>
        <v>71.647058823529392</v>
      </c>
      <c r="AU31">
        <f t="shared" si="14"/>
        <v>108.43137254901958</v>
      </c>
      <c r="AV31">
        <f t="shared" si="14"/>
        <v>245.96078431372541</v>
      </c>
    </row>
    <row r="32" spans="1:69" x14ac:dyDescent="0.2">
      <c r="A32" t="s">
        <v>1</v>
      </c>
      <c r="B32" s="1" t="s">
        <v>4</v>
      </c>
      <c r="C32" t="s">
        <v>3</v>
      </c>
      <c r="D32">
        <v>8.4000000000000005E-2</v>
      </c>
      <c r="E32">
        <v>0.68</v>
      </c>
      <c r="F32">
        <v>3.64</v>
      </c>
      <c r="G32" s="3">
        <v>0.36</v>
      </c>
      <c r="H32">
        <v>3.1850000000000001</v>
      </c>
      <c r="I32">
        <f>74*5/3*0.02*0.1*11</f>
        <v>2.7133333333333338</v>
      </c>
      <c r="J32">
        <v>4</v>
      </c>
      <c r="K32">
        <v>0.36</v>
      </c>
      <c r="N32">
        <f>99*0.02*6</f>
        <v>11.879999999999999</v>
      </c>
      <c r="AH32">
        <v>1</v>
      </c>
      <c r="AI32">
        <f t="shared" ref="AI32:AI33" si="15">E32/D32</f>
        <v>8.0952380952380949</v>
      </c>
      <c r="AJ32">
        <f>F32/G32</f>
        <v>10.111111111111112</v>
      </c>
      <c r="AK32">
        <f>I32/H32</f>
        <v>0.8519099947671378</v>
      </c>
      <c r="AL32">
        <f>N32/I32</f>
        <v>4.3783783783783772</v>
      </c>
      <c r="AR32">
        <f t="shared" si="13"/>
        <v>1</v>
      </c>
      <c r="AS32">
        <f t="shared" si="14"/>
        <v>8.0952380952380949</v>
      </c>
      <c r="AT32">
        <f t="shared" si="14"/>
        <v>81.851851851851862</v>
      </c>
      <c r="AU32">
        <f t="shared" si="14"/>
        <v>69.730410682791657</v>
      </c>
      <c r="AV32">
        <f t="shared" si="14"/>
        <v>305.30612244897958</v>
      </c>
      <c r="BQ32" s="5"/>
    </row>
    <row r="33" spans="1:181" x14ac:dyDescent="0.2">
      <c r="A33" t="s">
        <v>1</v>
      </c>
      <c r="B33" s="1" t="s">
        <v>2</v>
      </c>
      <c r="C33" t="s">
        <v>5</v>
      </c>
      <c r="D33">
        <v>0.1</v>
      </c>
      <c r="E33">
        <v>0.68</v>
      </c>
      <c r="F33">
        <v>6.18</v>
      </c>
      <c r="G33" s="3">
        <v>0.57999999999999996</v>
      </c>
      <c r="H33">
        <v>5.665</v>
      </c>
      <c r="I33">
        <f>67*5/2*0.02*0.1*22</f>
        <v>7.37</v>
      </c>
      <c r="J33">
        <v>6</v>
      </c>
      <c r="K33">
        <v>0.57999999999999996</v>
      </c>
      <c r="N33">
        <f>75*0.02*10</f>
        <v>15</v>
      </c>
      <c r="AH33">
        <v>1</v>
      </c>
      <c r="AI33">
        <f t="shared" si="15"/>
        <v>6.8</v>
      </c>
      <c r="AJ33">
        <f>F33/G33</f>
        <v>10.655172413793103</v>
      </c>
      <c r="AK33">
        <f>I33/H33</f>
        <v>1.3009708737864079</v>
      </c>
      <c r="AL33">
        <f>N33/I33</f>
        <v>2.0352781546811398</v>
      </c>
      <c r="AR33">
        <f t="shared" si="13"/>
        <v>1</v>
      </c>
      <c r="AS33">
        <f t="shared" si="14"/>
        <v>6.8</v>
      </c>
      <c r="AT33">
        <f t="shared" si="14"/>
        <v>72.455172413793093</v>
      </c>
      <c r="AU33">
        <f t="shared" si="14"/>
        <v>94.26206896551723</v>
      </c>
      <c r="AV33">
        <f t="shared" si="14"/>
        <v>191.84952978056424</v>
      </c>
    </row>
    <row r="35" spans="1:181" x14ac:dyDescent="0.2">
      <c r="A35" t="s">
        <v>8</v>
      </c>
      <c r="B35" s="1" t="s">
        <v>2</v>
      </c>
      <c r="C35" t="s">
        <v>3</v>
      </c>
      <c r="D35">
        <v>0.3</v>
      </c>
      <c r="E35">
        <v>2.64</v>
      </c>
      <c r="F35">
        <v>6.1</v>
      </c>
      <c r="G35" s="3">
        <v>1</v>
      </c>
      <c r="H35" s="3">
        <v>5.7949999999999999</v>
      </c>
      <c r="I35">
        <v>11.47</v>
      </c>
      <c r="J35">
        <v>10</v>
      </c>
      <c r="K35">
        <v>1</v>
      </c>
      <c r="N35">
        <f>75*5/3*0.02*16</f>
        <v>40</v>
      </c>
      <c r="AH35">
        <v>1</v>
      </c>
      <c r="AI35">
        <f t="shared" ref="AI35:AI37" si="16">E35/D35</f>
        <v>8.8000000000000007</v>
      </c>
      <c r="AJ35">
        <f>F35/G35</f>
        <v>6.1</v>
      </c>
      <c r="AK35">
        <f>I35/H35</f>
        <v>1.9792924935289045</v>
      </c>
      <c r="AL35">
        <f>N35/I35</f>
        <v>3.4873583260680032</v>
      </c>
      <c r="AR35">
        <f t="shared" ref="AR35:AR37" si="17">AH35</f>
        <v>1</v>
      </c>
      <c r="AS35">
        <f t="shared" ref="AS35:AV37" si="18">AI35*AR35</f>
        <v>8.8000000000000007</v>
      </c>
      <c r="AT35">
        <f t="shared" si="18"/>
        <v>53.68</v>
      </c>
      <c r="AU35">
        <f t="shared" si="18"/>
        <v>106.24842105263158</v>
      </c>
      <c r="AV35">
        <f t="shared" si="18"/>
        <v>370.5263157894737</v>
      </c>
    </row>
    <row r="36" spans="1:181" x14ac:dyDescent="0.2">
      <c r="A36" t="s">
        <v>8</v>
      </c>
      <c r="B36" s="1" t="s">
        <v>4</v>
      </c>
      <c r="C36" t="s">
        <v>3</v>
      </c>
      <c r="D36">
        <v>0.3</v>
      </c>
      <c r="E36">
        <v>3.25</v>
      </c>
      <c r="F36">
        <v>7.9</v>
      </c>
      <c r="G36" s="3">
        <v>1</v>
      </c>
      <c r="H36">
        <v>7.5049999999999999</v>
      </c>
      <c r="I36">
        <v>11.84</v>
      </c>
      <c r="J36">
        <v>10</v>
      </c>
      <c r="K36">
        <v>1</v>
      </c>
      <c r="N36">
        <f>46*5/3*0.02*16</f>
        <v>24.533333333333335</v>
      </c>
      <c r="AH36">
        <v>1</v>
      </c>
      <c r="AI36">
        <f t="shared" si="16"/>
        <v>10.833333333333334</v>
      </c>
      <c r="AJ36">
        <f>F36/G36</f>
        <v>7.9</v>
      </c>
      <c r="AK36">
        <f>I36/H36</f>
        <v>1.5776149233844103</v>
      </c>
      <c r="AL36">
        <f>N36/I36</f>
        <v>2.0720720720720722</v>
      </c>
      <c r="AR36">
        <f t="shared" si="17"/>
        <v>1</v>
      </c>
      <c r="AS36">
        <f t="shared" si="18"/>
        <v>10.833333333333334</v>
      </c>
      <c r="AT36">
        <f t="shared" si="18"/>
        <v>85.583333333333343</v>
      </c>
      <c r="AU36">
        <f t="shared" si="18"/>
        <v>135.01754385964912</v>
      </c>
      <c r="AV36">
        <f t="shared" si="18"/>
        <v>279.76608187134502</v>
      </c>
    </row>
    <row r="37" spans="1:181" x14ac:dyDescent="0.2">
      <c r="A37" t="s">
        <v>8</v>
      </c>
      <c r="B37" s="1" t="s">
        <v>2</v>
      </c>
      <c r="C37" t="s">
        <v>5</v>
      </c>
      <c r="D37">
        <v>0.3</v>
      </c>
      <c r="E37">
        <v>4.5999999999999996</v>
      </c>
      <c r="F37">
        <v>8</v>
      </c>
      <c r="G37" s="3">
        <v>1</v>
      </c>
      <c r="H37">
        <v>6.4</v>
      </c>
      <c r="I37">
        <v>10.56</v>
      </c>
      <c r="J37">
        <v>10</v>
      </c>
      <c r="K37">
        <v>1</v>
      </c>
      <c r="N37">
        <f>63*5/3*0.02*16</f>
        <v>33.6</v>
      </c>
      <c r="AH37">
        <v>1</v>
      </c>
      <c r="AI37">
        <f t="shared" si="16"/>
        <v>15.333333333333332</v>
      </c>
      <c r="AJ37">
        <f>F37/G37</f>
        <v>8</v>
      </c>
      <c r="AK37">
        <f>I37/H37</f>
        <v>1.65</v>
      </c>
      <c r="AL37">
        <f>N37/I37</f>
        <v>3.1818181818181817</v>
      </c>
      <c r="AR37">
        <f t="shared" si="17"/>
        <v>1</v>
      </c>
      <c r="AS37">
        <f t="shared" si="18"/>
        <v>15.333333333333332</v>
      </c>
      <c r="AT37">
        <f t="shared" si="18"/>
        <v>122.66666666666666</v>
      </c>
      <c r="AU37">
        <f t="shared" si="18"/>
        <v>202.39999999999998</v>
      </c>
      <c r="AV37">
        <f t="shared" si="18"/>
        <v>643.99999999999989</v>
      </c>
    </row>
    <row r="38" spans="1:181" x14ac:dyDescent="0.2">
      <c r="B38" s="1"/>
      <c r="G38" s="3"/>
    </row>
    <row r="39" spans="1:181" x14ac:dyDescent="0.2">
      <c r="B39" s="1"/>
      <c r="G39" s="3"/>
    </row>
    <row r="40" spans="1:181" x14ac:dyDescent="0.2">
      <c r="K40">
        <v>14</v>
      </c>
      <c r="M40">
        <v>14</v>
      </c>
      <c r="O40">
        <v>15</v>
      </c>
      <c r="P40" t="s">
        <v>38</v>
      </c>
      <c r="Q40">
        <v>15</v>
      </c>
      <c r="T40" t="s">
        <v>7</v>
      </c>
      <c r="U40" t="s">
        <v>42</v>
      </c>
      <c r="V40" t="s">
        <v>43</v>
      </c>
      <c r="W40" t="s">
        <v>7</v>
      </c>
      <c r="X40" t="s">
        <v>42</v>
      </c>
      <c r="Y40" t="s">
        <v>43</v>
      </c>
      <c r="AC40" t="s">
        <v>44</v>
      </c>
      <c r="FA40" s="3"/>
      <c r="FM40" s="3"/>
      <c r="FY40" s="3"/>
    </row>
    <row r="41" spans="1:181" x14ac:dyDescent="0.2">
      <c r="A41" s="2">
        <v>42628</v>
      </c>
      <c r="B41" t="s">
        <v>55</v>
      </c>
      <c r="D41">
        <v>0</v>
      </c>
      <c r="E41">
        <v>7</v>
      </c>
      <c r="F41">
        <v>12</v>
      </c>
      <c r="G41">
        <v>14</v>
      </c>
      <c r="I41" t="s">
        <v>33</v>
      </c>
      <c r="J41" t="s">
        <v>34</v>
      </c>
      <c r="K41" t="s">
        <v>35</v>
      </c>
      <c r="L41" t="s">
        <v>36</v>
      </c>
      <c r="M41" t="s">
        <v>7</v>
      </c>
      <c r="N41" t="s">
        <v>37</v>
      </c>
      <c r="Q41" t="s">
        <v>39</v>
      </c>
      <c r="R41" t="s">
        <v>40</v>
      </c>
      <c r="S41" t="s">
        <v>41</v>
      </c>
      <c r="T41">
        <v>18</v>
      </c>
      <c r="U41">
        <v>18</v>
      </c>
      <c r="V41">
        <v>18</v>
      </c>
      <c r="W41">
        <v>20</v>
      </c>
      <c r="X41">
        <v>20</v>
      </c>
      <c r="Y41">
        <v>20</v>
      </c>
      <c r="Z41">
        <v>21</v>
      </c>
      <c r="AA41" t="s">
        <v>42</v>
      </c>
      <c r="AB41">
        <v>21</v>
      </c>
      <c r="AC41">
        <v>21</v>
      </c>
      <c r="AH41">
        <v>0</v>
      </c>
      <c r="AI41">
        <v>7</v>
      </c>
      <c r="AJ41">
        <v>12</v>
      </c>
      <c r="AK41">
        <v>14</v>
      </c>
      <c r="AL41">
        <v>15</v>
      </c>
      <c r="AM41">
        <v>18</v>
      </c>
      <c r="AN41">
        <v>20</v>
      </c>
      <c r="AO41">
        <v>21</v>
      </c>
      <c r="AR41">
        <v>0</v>
      </c>
      <c r="AS41">
        <v>7</v>
      </c>
      <c r="AT41">
        <v>12</v>
      </c>
      <c r="AU41">
        <v>14</v>
      </c>
      <c r="AV41">
        <v>15</v>
      </c>
      <c r="AW41">
        <v>18</v>
      </c>
      <c r="AX41">
        <v>20</v>
      </c>
      <c r="AY41">
        <v>21</v>
      </c>
    </row>
    <row r="42" spans="1:181" x14ac:dyDescent="0.2">
      <c r="A42" t="s">
        <v>1</v>
      </c>
      <c r="B42" s="1" t="s">
        <v>2</v>
      </c>
      <c r="C42" t="s">
        <v>3</v>
      </c>
      <c r="D42">
        <v>0.3</v>
      </c>
      <c r="E42">
        <f>114*0.02*1</f>
        <v>2.2800000000000002</v>
      </c>
      <c r="F42">
        <f>(205*0.02*0.08)*24</f>
        <v>7.871999999999999</v>
      </c>
      <c r="G42">
        <f>(120*0.02*0.08)*(12*4)</f>
        <v>9.2160000000000011</v>
      </c>
      <c r="H42" s="3">
        <v>6</v>
      </c>
      <c r="I42">
        <f>90*0.02*1</f>
        <v>1.8</v>
      </c>
      <c r="J42">
        <f>12*0.1</f>
        <v>1.2000000000000002</v>
      </c>
      <c r="K42">
        <f>(120*0.02*0.08)*5</f>
        <v>0.96</v>
      </c>
      <c r="L42">
        <f>G42-K42</f>
        <v>8.2560000000000002</v>
      </c>
      <c r="M42">
        <f>12*4</f>
        <v>48</v>
      </c>
      <c r="N42">
        <f>M42-5</f>
        <v>43</v>
      </c>
      <c r="O42">
        <f>3*12+3</f>
        <v>39</v>
      </c>
      <c r="P42">
        <f>N42-O42</f>
        <v>4</v>
      </c>
      <c r="Q42">
        <f>158*(5/3)*0.02*0.08</f>
        <v>0.42133333333333339</v>
      </c>
      <c r="R42">
        <f>Q42*N42</f>
        <v>18.117333333333335</v>
      </c>
      <c r="S42">
        <f>Q42*O42</f>
        <v>16.432000000000002</v>
      </c>
      <c r="T42">
        <v>144</v>
      </c>
      <c r="U42">
        <f>90*0.02*0.08</f>
        <v>0.14400000000000002</v>
      </c>
      <c r="V42">
        <f>T42*U42</f>
        <v>20.736000000000004</v>
      </c>
      <c r="W42">
        <f>28+48+44+24</f>
        <v>144</v>
      </c>
      <c r="X42">
        <f>60*0.02*0.09</f>
        <v>0.108</v>
      </c>
      <c r="Y42">
        <f>X42*W42</f>
        <v>15.552</v>
      </c>
      <c r="Z42">
        <f>W42</f>
        <v>144</v>
      </c>
      <c r="AA42">
        <f>0.58/6</f>
        <v>9.6666666666666665E-2</v>
      </c>
      <c r="AB42">
        <f>AA42*Z42</f>
        <v>13.92</v>
      </c>
      <c r="AH42">
        <v>1</v>
      </c>
      <c r="AI42">
        <f t="shared" ref="AI42" si="19">E42/D42</f>
        <v>7.6000000000000014</v>
      </c>
      <c r="AJ42">
        <f>F42/J42</f>
        <v>6.5599999999999978</v>
      </c>
      <c r="AK42">
        <f>G42/F42</f>
        <v>1.1707317073170735</v>
      </c>
      <c r="AL42">
        <f>R42/G42</f>
        <v>1.9658564814814814</v>
      </c>
      <c r="AM42">
        <f>V42/S42</f>
        <v>1.2619279454722494</v>
      </c>
      <c r="AN42">
        <f>Y42/V42</f>
        <v>0.74999999999999978</v>
      </c>
      <c r="AO42">
        <f>AB42/Y42</f>
        <v>0.89506172839506171</v>
      </c>
      <c r="AR42">
        <f t="shared" ref="AR42" si="20">AH42</f>
        <v>1</v>
      </c>
      <c r="AS42">
        <f t="shared" ref="AS42:AY42" si="21">AI42*AR42</f>
        <v>7.6000000000000014</v>
      </c>
      <c r="AT42">
        <f t="shared" si="21"/>
        <v>49.855999999999995</v>
      </c>
      <c r="AU42">
        <f t="shared" si="21"/>
        <v>58.368000000000009</v>
      </c>
      <c r="AV42">
        <f t="shared" si="21"/>
        <v>114.74311111111112</v>
      </c>
      <c r="AW42">
        <f t="shared" si="21"/>
        <v>144.79753846153849</v>
      </c>
      <c r="AX42">
        <f t="shared" si="21"/>
        <v>108.59815384615383</v>
      </c>
      <c r="AY42">
        <f t="shared" si="21"/>
        <v>97.202051282051272</v>
      </c>
    </row>
    <row r="43" spans="1:181" x14ac:dyDescent="0.2">
      <c r="A43" t="s">
        <v>1</v>
      </c>
      <c r="B43" s="1" t="s">
        <v>2</v>
      </c>
      <c r="C43" t="s">
        <v>28</v>
      </c>
      <c r="D43">
        <v>0.3</v>
      </c>
      <c r="E43">
        <f>119*0.02*0.78</f>
        <v>1.8564000000000001</v>
      </c>
      <c r="F43">
        <f>(143*0.02*0.08)*12</f>
        <v>2.7456</v>
      </c>
      <c r="G43">
        <f>(80*0.02*0.08)*(6*4)</f>
        <v>3.0720000000000001</v>
      </c>
      <c r="H43" s="3">
        <v>6</v>
      </c>
      <c r="I43">
        <f>53*0.02*0.78</f>
        <v>0.82680000000000009</v>
      </c>
      <c r="J43">
        <f>6*0.1</f>
        <v>0.60000000000000009</v>
      </c>
      <c r="K43">
        <f>(80*0.02*0.08)*4</f>
        <v>0.51200000000000001</v>
      </c>
      <c r="L43">
        <f>G43-K43</f>
        <v>2.56</v>
      </c>
      <c r="M43">
        <f>6*4</f>
        <v>24</v>
      </c>
      <c r="N43">
        <f>M43-4</f>
        <v>20</v>
      </c>
      <c r="O43">
        <v>16</v>
      </c>
      <c r="P43">
        <f>N43-O43</f>
        <v>4</v>
      </c>
      <c r="Q43">
        <f>112*0.02*0.08</f>
        <v>0.17920000000000003</v>
      </c>
      <c r="R43">
        <f>Q43*N43</f>
        <v>3.5840000000000005</v>
      </c>
      <c r="S43">
        <f>Q43*O43</f>
        <v>2.8672000000000004</v>
      </c>
      <c r="T43">
        <f>W43/2</f>
        <v>32</v>
      </c>
      <c r="U43">
        <v>0.26400000000000001</v>
      </c>
      <c r="V43">
        <f>T43*U43</f>
        <v>8.4480000000000004</v>
      </c>
      <c r="W43">
        <f>4*6+16+24</f>
        <v>64</v>
      </c>
      <c r="X43">
        <f>45*0.02*0.09</f>
        <v>8.1000000000000003E-2</v>
      </c>
      <c r="Y43">
        <f>X43*W43</f>
        <v>5.1840000000000002</v>
      </c>
      <c r="Z43">
        <f>W43</f>
        <v>64</v>
      </c>
      <c r="AA43">
        <f>0.88/6</f>
        <v>0.14666666666666667</v>
      </c>
      <c r="AB43">
        <f>AA43*Z43</f>
        <v>9.3866666666666667</v>
      </c>
      <c r="AH43">
        <v>1</v>
      </c>
      <c r="AI43">
        <f t="shared" ref="AI43" si="22">E43/D43</f>
        <v>6.1880000000000006</v>
      </c>
      <c r="AJ43">
        <f>F43/J43</f>
        <v>4.5759999999999996</v>
      </c>
      <c r="AK43">
        <f>G43/F43</f>
        <v>1.118881118881119</v>
      </c>
      <c r="AL43">
        <f>R43/G43</f>
        <v>1.1666666666666667</v>
      </c>
      <c r="AM43">
        <f>V43/S43</f>
        <v>2.9464285714285712</v>
      </c>
      <c r="AN43">
        <f>Y43/V43</f>
        <v>0.61363636363636365</v>
      </c>
      <c r="AO43">
        <f>AB43/Y43</f>
        <v>1.8106995884773662</v>
      </c>
      <c r="AR43">
        <f t="shared" ref="AR43" si="23">AH43</f>
        <v>1</v>
      </c>
      <c r="AS43">
        <f t="shared" ref="AS43" si="24">AI43*AR43</f>
        <v>6.1880000000000006</v>
      </c>
      <c r="AT43">
        <f t="shared" ref="AT43:AY43" si="25">AJ43*AS43</f>
        <v>28.316288</v>
      </c>
      <c r="AU43">
        <f t="shared" si="25"/>
        <v>31.682560000000002</v>
      </c>
      <c r="AV43">
        <f t="shared" si="25"/>
        <v>36.962986666666673</v>
      </c>
      <c r="AW43">
        <f t="shared" si="25"/>
        <v>108.90880000000001</v>
      </c>
      <c r="AX43">
        <f t="shared" si="25"/>
        <v>66.830400000000012</v>
      </c>
      <c r="AY43">
        <f t="shared" si="25"/>
        <v>121.0097777777778</v>
      </c>
      <c r="DH43" s="13"/>
      <c r="DI43" s="13"/>
      <c r="DR43" s="14"/>
      <c r="DT43" s="14"/>
    </row>
    <row r="45" spans="1:181" x14ac:dyDescent="0.2">
      <c r="A45" t="s">
        <v>32</v>
      </c>
      <c r="B45" s="1" t="s">
        <v>2</v>
      </c>
      <c r="C45" t="s">
        <v>3</v>
      </c>
      <c r="D45">
        <v>0.6</v>
      </c>
      <c r="E45">
        <f>92*0.02</f>
        <v>1.84</v>
      </c>
      <c r="G45">
        <f>(124*0.02*0.08)*(12*4)</f>
        <v>9.5231999999999992</v>
      </c>
      <c r="H45">
        <v>12</v>
      </c>
      <c r="I45">
        <f>115*0.02</f>
        <v>2.3000000000000003</v>
      </c>
      <c r="J45">
        <f>12*0.1</f>
        <v>1.2000000000000002</v>
      </c>
      <c r="K45">
        <f>(124*0.02*0.08)*5</f>
        <v>0.99199999999999999</v>
      </c>
      <c r="L45">
        <f>G45-K45</f>
        <v>8.5311999999999983</v>
      </c>
      <c r="M45">
        <f>4*12</f>
        <v>48</v>
      </c>
      <c r="N45">
        <f>M45-5</f>
        <v>43</v>
      </c>
      <c r="O45">
        <f>3*12+1</f>
        <v>37</v>
      </c>
      <c r="P45">
        <f>N45-O45</f>
        <v>6</v>
      </c>
      <c r="Q45">
        <f>78*5/2*0.02*0.08</f>
        <v>0.312</v>
      </c>
      <c r="R45">
        <f>Q45*N45</f>
        <v>13.416</v>
      </c>
      <c r="S45">
        <f>Q45*O45</f>
        <v>11.544</v>
      </c>
      <c r="AH45">
        <v>1</v>
      </c>
      <c r="AI45">
        <f t="shared" ref="AI45:AI46" si="26">E45/D45</f>
        <v>3.0666666666666669</v>
      </c>
      <c r="AK45">
        <f>G45/J45</f>
        <v>7.9359999999999982</v>
      </c>
      <c r="AR45">
        <f t="shared" ref="AR45:AR46" si="27">AH45</f>
        <v>1</v>
      </c>
      <c r="AS45">
        <f t="shared" ref="AS45:AS46" si="28">AI45*AR45</f>
        <v>3.0666666666666669</v>
      </c>
      <c r="AU45">
        <f>AK45*AS45</f>
        <v>24.337066666666662</v>
      </c>
      <c r="DR45" s="14"/>
      <c r="DS45" s="13"/>
      <c r="DT45" s="14"/>
      <c r="DU45" s="13"/>
      <c r="DV45" s="14"/>
      <c r="DW45" s="13"/>
    </row>
    <row r="46" spans="1:181" x14ac:dyDescent="0.2">
      <c r="A46" t="s">
        <v>32</v>
      </c>
      <c r="B46" s="1" t="s">
        <v>2</v>
      </c>
      <c r="C46" t="s">
        <v>28</v>
      </c>
      <c r="D46">
        <v>0.6</v>
      </c>
      <c r="E46">
        <f>102*0.02</f>
        <v>2.04</v>
      </c>
      <c r="G46">
        <f>(103*0.02*0.08)*(12*4)</f>
        <v>7.9104000000000001</v>
      </c>
      <c r="H46">
        <v>12</v>
      </c>
      <c r="I46">
        <f>113*0.02</f>
        <v>2.2600000000000002</v>
      </c>
      <c r="J46">
        <f>12*0.1</f>
        <v>1.2000000000000002</v>
      </c>
      <c r="K46">
        <f>(103*0.02*0.08)*6</f>
        <v>0.98880000000000001</v>
      </c>
      <c r="L46">
        <f>G46-K46</f>
        <v>6.9215999999999998</v>
      </c>
      <c r="M46">
        <f>4*12</f>
        <v>48</v>
      </c>
      <c r="N46">
        <f>M46-6</f>
        <v>42</v>
      </c>
      <c r="O46">
        <f>3*12+2</f>
        <v>38</v>
      </c>
      <c r="P46">
        <f>N46-O46</f>
        <v>4</v>
      </c>
      <c r="Q46">
        <f>104*5/3*0.02*0.08</f>
        <v>0.27733333333333338</v>
      </c>
      <c r="R46">
        <f>Q46*N46</f>
        <v>11.648000000000001</v>
      </c>
      <c r="S46">
        <f>Q46*O46</f>
        <v>10.538666666666668</v>
      </c>
      <c r="AH46">
        <v>1</v>
      </c>
      <c r="AI46">
        <f t="shared" si="26"/>
        <v>3.4000000000000004</v>
      </c>
      <c r="AK46">
        <f>G46/J46</f>
        <v>6.5919999999999987</v>
      </c>
      <c r="AR46">
        <f t="shared" si="27"/>
        <v>1</v>
      </c>
      <c r="AS46">
        <f t="shared" si="28"/>
        <v>3.4000000000000004</v>
      </c>
      <c r="AU46">
        <f>AK46*AS46</f>
        <v>22.412799999999997</v>
      </c>
      <c r="DR46" s="14"/>
      <c r="DT46" s="14"/>
    </row>
    <row r="47" spans="1:181" x14ac:dyDescent="0.2">
      <c r="B47" s="1"/>
    </row>
    <row r="48" spans="1:181" x14ac:dyDescent="0.2">
      <c r="A48" s="2">
        <v>42657</v>
      </c>
      <c r="B48" t="s">
        <v>45</v>
      </c>
      <c r="D48">
        <v>0</v>
      </c>
      <c r="E48">
        <v>6</v>
      </c>
      <c r="F48">
        <v>7</v>
      </c>
      <c r="G48" t="s">
        <v>47</v>
      </c>
      <c r="H48">
        <v>13</v>
      </c>
      <c r="I48">
        <v>14</v>
      </c>
      <c r="J48">
        <v>20</v>
      </c>
      <c r="K48" t="s">
        <v>50</v>
      </c>
      <c r="L48">
        <v>21</v>
      </c>
      <c r="AH48">
        <v>0</v>
      </c>
      <c r="AI48">
        <v>6</v>
      </c>
      <c r="AJ48">
        <v>7</v>
      </c>
      <c r="AK48">
        <v>13</v>
      </c>
      <c r="AL48">
        <v>14</v>
      </c>
      <c r="AM48">
        <v>20</v>
      </c>
      <c r="AN48">
        <v>21</v>
      </c>
      <c r="AR48">
        <v>0</v>
      </c>
      <c r="AS48">
        <v>6</v>
      </c>
      <c r="AT48">
        <v>7</v>
      </c>
      <c r="AU48">
        <v>13</v>
      </c>
      <c r="AV48">
        <v>14</v>
      </c>
      <c r="AW48">
        <v>20</v>
      </c>
      <c r="AX48">
        <v>21</v>
      </c>
    </row>
    <row r="49" spans="1:113" x14ac:dyDescent="0.2">
      <c r="A49" t="s">
        <v>1</v>
      </c>
      <c r="B49" s="1" t="s">
        <v>2</v>
      </c>
      <c r="C49" t="s">
        <v>3</v>
      </c>
      <c r="D49">
        <v>0.2</v>
      </c>
      <c r="E49">
        <f>0.1962*8</f>
        <v>1.5696000000000001</v>
      </c>
      <c r="F49">
        <v>2.56</v>
      </c>
      <c r="G49">
        <v>1.6</v>
      </c>
      <c r="H49">
        <f>((50*0.02)/4)*(16*4)</f>
        <v>16</v>
      </c>
      <c r="I49">
        <f>((181*0.02)*0.09)*(12+16+16+16)</f>
        <v>19.547999999999998</v>
      </c>
      <c r="J49">
        <v>24.96</v>
      </c>
      <c r="K49">
        <v>23.68</v>
      </c>
      <c r="L49">
        <v>49.7</v>
      </c>
      <c r="AH49">
        <v>1</v>
      </c>
      <c r="AI49">
        <f t="shared" ref="AI49" si="29">E49/D49</f>
        <v>7.8479999999999999</v>
      </c>
      <c r="AJ49">
        <f>F49/E49</f>
        <v>1.6309887869520896</v>
      </c>
      <c r="AK49">
        <f t="shared" ref="AK49:AM50" si="30">H49/G49</f>
        <v>10</v>
      </c>
      <c r="AL49">
        <f t="shared" si="30"/>
        <v>1.2217499999999999</v>
      </c>
      <c r="AM49">
        <f t="shared" si="30"/>
        <v>1.2768569674647023</v>
      </c>
      <c r="AN49">
        <f>L49/K49</f>
        <v>2.0988175675675675</v>
      </c>
      <c r="AR49">
        <f t="shared" ref="AR49:AR50" si="31">AH49</f>
        <v>1</v>
      </c>
      <c r="AS49">
        <f t="shared" ref="AS49:AS52" si="32">AI49*AR49</f>
        <v>7.8479999999999999</v>
      </c>
      <c r="AT49">
        <f t="shared" ref="AT49:AX50" si="33">AJ49*AS49</f>
        <v>12.799999999999999</v>
      </c>
      <c r="AU49">
        <f t="shared" si="33"/>
        <v>127.99999999999999</v>
      </c>
      <c r="AV49">
        <f t="shared" si="33"/>
        <v>156.38399999999996</v>
      </c>
      <c r="AW49">
        <f t="shared" si="33"/>
        <v>199.67999999999995</v>
      </c>
      <c r="AX49">
        <f t="shared" si="33"/>
        <v>419.09189189189181</v>
      </c>
      <c r="DH49" s="13"/>
      <c r="DI49" s="13"/>
    </row>
    <row r="50" spans="1:113" x14ac:dyDescent="0.2">
      <c r="A50" t="s">
        <v>1</v>
      </c>
      <c r="B50" s="1" t="s">
        <v>2</v>
      </c>
      <c r="C50" t="s">
        <v>28</v>
      </c>
      <c r="D50">
        <v>0.2</v>
      </c>
      <c r="E50">
        <f>0.117*8</f>
        <v>0.93600000000000005</v>
      </c>
      <c r="F50">
        <v>1.34</v>
      </c>
      <c r="G50">
        <v>0.8</v>
      </c>
      <c r="H50">
        <f>((47*0.02)/4)*(8*4)</f>
        <v>7.5200000000000005</v>
      </c>
      <c r="I50">
        <f>((184*0.02)*0.08)*(11+8+8+1)</f>
        <v>8.2431999999999999</v>
      </c>
      <c r="J50">
        <v>15.64</v>
      </c>
      <c r="K50">
        <v>14.72</v>
      </c>
      <c r="L50">
        <v>22.2</v>
      </c>
      <c r="AH50">
        <v>1</v>
      </c>
      <c r="AI50">
        <f t="shared" ref="AI50" si="34">E50/D50</f>
        <v>4.68</v>
      </c>
      <c r="AJ50">
        <f>F50/E50</f>
        <v>1.4316239316239316</v>
      </c>
      <c r="AK50">
        <f t="shared" si="30"/>
        <v>9.4</v>
      </c>
      <c r="AL50">
        <f t="shared" si="30"/>
        <v>1.0961702127659574</v>
      </c>
      <c r="AM50">
        <f t="shared" si="30"/>
        <v>1.8973214285714286</v>
      </c>
      <c r="AN50">
        <f>L50/K50</f>
        <v>1.5081521739130435</v>
      </c>
      <c r="AR50">
        <f t="shared" si="31"/>
        <v>1</v>
      </c>
      <c r="AS50">
        <f t="shared" si="32"/>
        <v>4.68</v>
      </c>
      <c r="AT50">
        <f t="shared" si="33"/>
        <v>6.6999999999999993</v>
      </c>
      <c r="AU50">
        <f t="shared" si="33"/>
        <v>62.98</v>
      </c>
      <c r="AV50">
        <f t="shared" si="33"/>
        <v>69.036799999999999</v>
      </c>
      <c r="AW50">
        <f t="shared" si="33"/>
        <v>130.98500000000001</v>
      </c>
      <c r="AX50">
        <f t="shared" si="33"/>
        <v>197.54531250000002</v>
      </c>
    </row>
    <row r="51" spans="1:113" x14ac:dyDescent="0.2">
      <c r="AI51">
        <v>7</v>
      </c>
    </row>
    <row r="52" spans="1:113" x14ac:dyDescent="0.2">
      <c r="A52" t="s">
        <v>32</v>
      </c>
      <c r="B52" s="1" t="s">
        <v>2</v>
      </c>
      <c r="C52" t="s">
        <v>3</v>
      </c>
      <c r="D52">
        <v>0.8</v>
      </c>
      <c r="G52">
        <v>1.6</v>
      </c>
      <c r="H52">
        <f>((62*0.02)/6)*(16*4)</f>
        <v>13.226666666666667</v>
      </c>
      <c r="I52">
        <f>((152*0.02)*0.09)*(10+16+16+16)</f>
        <v>15.8688</v>
      </c>
      <c r="AH52">
        <v>1</v>
      </c>
      <c r="AI52">
        <f t="shared" ref="AI52:AI53" si="35">E52/D52</f>
        <v>0</v>
      </c>
      <c r="AJ52">
        <f>H52/G52</f>
        <v>8.2666666666666657</v>
      </c>
      <c r="AK52">
        <f>I52/H52</f>
        <v>1.199758064516129</v>
      </c>
      <c r="AR52">
        <f t="shared" ref="AR52:AR53" si="36">AH52</f>
        <v>1</v>
      </c>
      <c r="AS52">
        <f t="shared" si="32"/>
        <v>0</v>
      </c>
      <c r="AU52">
        <f>AK52*AS52</f>
        <v>0</v>
      </c>
    </row>
    <row r="53" spans="1:113" x14ac:dyDescent="0.2">
      <c r="A53" t="s">
        <v>32</v>
      </c>
      <c r="B53" s="1" t="s">
        <v>2</v>
      </c>
      <c r="C53" t="s">
        <v>28</v>
      </c>
      <c r="D53">
        <v>0.6</v>
      </c>
      <c r="G53">
        <v>1.6</v>
      </c>
      <c r="H53">
        <f>((23*0.02)/6)*(16*4)</f>
        <v>4.9066666666666672</v>
      </c>
      <c r="I53">
        <f>((196*0.02)*0.09)*(10+16+16+16)</f>
        <v>20.462399999999999</v>
      </c>
      <c r="AH53">
        <v>1</v>
      </c>
      <c r="AI53">
        <f t="shared" si="35"/>
        <v>0</v>
      </c>
      <c r="AJ53">
        <f>H53/G53</f>
        <v>3.0666666666666669</v>
      </c>
      <c r="AK53">
        <f>I53/H53</f>
        <v>4.1703260869565213</v>
      </c>
      <c r="AR53">
        <f t="shared" si="36"/>
        <v>1</v>
      </c>
      <c r="AS53">
        <f t="shared" ref="AS53" si="37">AI53*AR53</f>
        <v>0</v>
      </c>
      <c r="AU53">
        <f>AK53*AS53</f>
        <v>0</v>
      </c>
    </row>
    <row r="55" spans="1:113" x14ac:dyDescent="0.2">
      <c r="A55" s="2">
        <v>42689</v>
      </c>
      <c r="B55" t="s">
        <v>56</v>
      </c>
      <c r="D55">
        <v>0</v>
      </c>
      <c r="E55">
        <v>7</v>
      </c>
      <c r="G55" t="s">
        <v>34</v>
      </c>
      <c r="H55">
        <v>14</v>
      </c>
      <c r="I55" t="s">
        <v>57</v>
      </c>
      <c r="J55" t="s">
        <v>58</v>
      </c>
      <c r="K55">
        <v>17</v>
      </c>
      <c r="L55">
        <v>19</v>
      </c>
      <c r="M55">
        <v>21</v>
      </c>
      <c r="N55" t="s">
        <v>59</v>
      </c>
      <c r="O55">
        <v>22</v>
      </c>
      <c r="AH55">
        <v>0</v>
      </c>
      <c r="AI55">
        <v>7</v>
      </c>
      <c r="AJ55">
        <v>14</v>
      </c>
      <c r="AK55">
        <v>17</v>
      </c>
      <c r="AL55">
        <v>19</v>
      </c>
      <c r="AM55">
        <v>22</v>
      </c>
      <c r="AR55">
        <v>0</v>
      </c>
      <c r="AS55">
        <v>7</v>
      </c>
      <c r="AT55">
        <v>14</v>
      </c>
      <c r="AU55">
        <v>17</v>
      </c>
      <c r="AV55">
        <v>19</v>
      </c>
      <c r="AW55">
        <v>21</v>
      </c>
    </row>
    <row r="56" spans="1:113" x14ac:dyDescent="0.2">
      <c r="A56" t="s">
        <v>1</v>
      </c>
      <c r="B56" s="1" t="s">
        <v>2</v>
      </c>
      <c r="C56" t="s">
        <v>3</v>
      </c>
      <c r="D56">
        <v>0.08</v>
      </c>
      <c r="E56">
        <v>0.72</v>
      </c>
      <c r="G56">
        <v>0.7</v>
      </c>
      <c r="H56">
        <f>0.312*(14*2)</f>
        <v>8.7360000000000007</v>
      </c>
      <c r="I56">
        <f>0.312*24</f>
        <v>7.4879999999999995</v>
      </c>
      <c r="J56">
        <f>(I56/48)*45</f>
        <v>7.02</v>
      </c>
      <c r="K56">
        <f>0.47*45</f>
        <v>21.15</v>
      </c>
      <c r="L56">
        <f>0.21*90</f>
        <v>18.899999999999999</v>
      </c>
      <c r="M56">
        <f>0.076*180</f>
        <v>13.68</v>
      </c>
      <c r="N56">
        <f>M56-0.768</f>
        <v>12.911999999999999</v>
      </c>
      <c r="O56">
        <v>24.3</v>
      </c>
      <c r="AH56">
        <v>1</v>
      </c>
      <c r="AI56">
        <f>E56/D56</f>
        <v>9</v>
      </c>
      <c r="AJ56">
        <f>H56/G56</f>
        <v>12.480000000000002</v>
      </c>
      <c r="AK56">
        <f>K56/J56</f>
        <v>3.0128205128205128</v>
      </c>
      <c r="AL56">
        <f>L56/K56</f>
        <v>0.8936170212765957</v>
      </c>
      <c r="AM56">
        <f>O56/L56</f>
        <v>1.2857142857142858</v>
      </c>
      <c r="AR56">
        <f t="shared" ref="AR56" si="38">AH56</f>
        <v>1</v>
      </c>
      <c r="AS56">
        <f t="shared" ref="AS56" si="39">AI56*AR56</f>
        <v>9</v>
      </c>
      <c r="AT56">
        <f>AJ56*AS56</f>
        <v>112.32000000000002</v>
      </c>
      <c r="AU56">
        <f>AK56*AT56</f>
        <v>338.40000000000003</v>
      </c>
      <c r="AV56">
        <f>AL56*AU56</f>
        <v>302.40000000000003</v>
      </c>
      <c r="AW56">
        <f>AM56*AV56</f>
        <v>388.80000000000007</v>
      </c>
    </row>
    <row r="57" spans="1:113" x14ac:dyDescent="0.2">
      <c r="A57" t="s">
        <v>1</v>
      </c>
      <c r="B57" s="1" t="s">
        <v>2</v>
      </c>
      <c r="C57" t="s">
        <v>28</v>
      </c>
      <c r="D57">
        <v>0.08</v>
      </c>
      <c r="E57">
        <v>0.66</v>
      </c>
      <c r="G57">
        <v>0.36</v>
      </c>
      <c r="H57">
        <f>0.284*16</f>
        <v>4.5439999999999996</v>
      </c>
      <c r="I57">
        <f>0.284*12</f>
        <v>3.4079999999999995</v>
      </c>
      <c r="J57">
        <f>(I57/48)*45</f>
        <v>3.1949999999999998</v>
      </c>
      <c r="K57">
        <f>0.372*21</f>
        <v>7.8120000000000003</v>
      </c>
      <c r="L57">
        <f>0.24*42</f>
        <v>10.08</v>
      </c>
      <c r="M57">
        <f>0.115*84</f>
        <v>9.66</v>
      </c>
      <c r="N57">
        <f>M57-1.37</f>
        <v>8.2899999999999991</v>
      </c>
      <c r="O57">
        <v>13.224</v>
      </c>
      <c r="AH57">
        <v>1</v>
      </c>
      <c r="AI57">
        <f>E57/D57</f>
        <v>8.25</v>
      </c>
      <c r="AJ57">
        <f>H57/G57</f>
        <v>12.622222222222222</v>
      </c>
      <c r="AK57">
        <f>K57/J57</f>
        <v>2.4450704225352116</v>
      </c>
      <c r="AL57">
        <f>L57/K57</f>
        <v>1.2903225806451613</v>
      </c>
      <c r="AM57">
        <f>O57/L57</f>
        <v>1.3119047619047619</v>
      </c>
      <c r="AR57">
        <f t="shared" ref="AR57:AR60" si="40">AH57</f>
        <v>1</v>
      </c>
      <c r="AS57">
        <f t="shared" ref="AS57:AS60" si="41">AI57*AR57</f>
        <v>8.25</v>
      </c>
      <c r="AT57">
        <f t="shared" ref="AT57:AT60" si="42">AJ57*AS57</f>
        <v>104.13333333333333</v>
      </c>
      <c r="AU57">
        <f>AK57*AT57</f>
        <v>254.61333333333334</v>
      </c>
      <c r="AV57">
        <f>AL57*AU57</f>
        <v>328.53333333333336</v>
      </c>
      <c r="AW57">
        <f>AM57*AV57</f>
        <v>431.00444444444446</v>
      </c>
    </row>
    <row r="59" spans="1:113" x14ac:dyDescent="0.2">
      <c r="A59" t="s">
        <v>32</v>
      </c>
      <c r="B59" s="1" t="s">
        <v>2</v>
      </c>
      <c r="C59" t="s">
        <v>3</v>
      </c>
      <c r="D59">
        <v>0.3</v>
      </c>
      <c r="E59">
        <v>2.36</v>
      </c>
      <c r="G59">
        <v>0.8</v>
      </c>
      <c r="H59">
        <f>0.267*(16*2)</f>
        <v>8.5440000000000005</v>
      </c>
      <c r="AH59">
        <v>1</v>
      </c>
      <c r="AI59">
        <f>E59/D59</f>
        <v>7.8666666666666663</v>
      </c>
      <c r="AJ59">
        <f>H59/G59</f>
        <v>10.68</v>
      </c>
      <c r="AR59">
        <f t="shared" si="40"/>
        <v>1</v>
      </c>
      <c r="AS59">
        <f t="shared" si="41"/>
        <v>7.8666666666666663</v>
      </c>
      <c r="AT59">
        <f t="shared" si="42"/>
        <v>84.015999999999991</v>
      </c>
    </row>
    <row r="60" spans="1:113" x14ac:dyDescent="0.2">
      <c r="A60" t="s">
        <v>32</v>
      </c>
      <c r="B60" s="1" t="s">
        <v>2</v>
      </c>
      <c r="C60" t="s">
        <v>28</v>
      </c>
      <c r="D60">
        <v>0.3</v>
      </c>
      <c r="E60">
        <v>1.96</v>
      </c>
      <c r="G60">
        <v>0.8</v>
      </c>
      <c r="H60">
        <f>0.266*(16*2)</f>
        <v>8.5120000000000005</v>
      </c>
      <c r="AH60">
        <v>1</v>
      </c>
      <c r="AI60">
        <f>E60/D60</f>
        <v>6.5333333333333332</v>
      </c>
      <c r="AJ60">
        <f>H60/G60</f>
        <v>10.64</v>
      </c>
      <c r="AR60">
        <f t="shared" si="40"/>
        <v>1</v>
      </c>
      <c r="AS60">
        <f t="shared" si="41"/>
        <v>6.5333333333333332</v>
      </c>
      <c r="AT60">
        <f t="shared" si="42"/>
        <v>69.51466666666667</v>
      </c>
    </row>
    <row r="61" spans="1:113" x14ac:dyDescent="0.2">
      <c r="J61" t="s">
        <v>62</v>
      </c>
    </row>
    <row r="62" spans="1:113" x14ac:dyDescent="0.2">
      <c r="A62" s="2">
        <v>42699</v>
      </c>
      <c r="B62" t="s">
        <v>61</v>
      </c>
      <c r="D62">
        <v>0</v>
      </c>
      <c r="E62">
        <v>5</v>
      </c>
      <c r="F62">
        <v>7</v>
      </c>
      <c r="G62" t="s">
        <v>34</v>
      </c>
      <c r="H62">
        <v>13</v>
      </c>
      <c r="I62" t="s">
        <v>60</v>
      </c>
      <c r="J62">
        <v>17</v>
      </c>
      <c r="K62">
        <v>18</v>
      </c>
      <c r="L62" t="s">
        <v>60</v>
      </c>
      <c r="M62">
        <v>19</v>
      </c>
      <c r="N62">
        <v>20</v>
      </c>
      <c r="O62" t="s">
        <v>37</v>
      </c>
      <c r="P62">
        <v>21</v>
      </c>
      <c r="Q62">
        <v>22</v>
      </c>
      <c r="AH62">
        <v>0</v>
      </c>
      <c r="AI62">
        <v>5</v>
      </c>
      <c r="AJ62">
        <v>7</v>
      </c>
      <c r="AK62">
        <v>13</v>
      </c>
      <c r="AL62">
        <v>17</v>
      </c>
      <c r="AM62">
        <v>18</v>
      </c>
      <c r="AN62">
        <v>19</v>
      </c>
      <c r="AO62">
        <v>20</v>
      </c>
      <c r="AP62">
        <v>21</v>
      </c>
      <c r="AQ62">
        <v>22</v>
      </c>
      <c r="AR62">
        <v>0</v>
      </c>
      <c r="AS62">
        <v>5</v>
      </c>
      <c r="AT62">
        <v>7</v>
      </c>
      <c r="AU62">
        <v>13</v>
      </c>
      <c r="AV62">
        <v>17</v>
      </c>
      <c r="AW62">
        <v>18</v>
      </c>
      <c r="AX62">
        <v>19</v>
      </c>
      <c r="AY62">
        <v>20</v>
      </c>
      <c r="AZ62">
        <v>21</v>
      </c>
      <c r="BA62">
        <v>22</v>
      </c>
    </row>
    <row r="63" spans="1:113" x14ac:dyDescent="0.2">
      <c r="A63" s="2"/>
      <c r="J63">
        <v>76</v>
      </c>
      <c r="K63">
        <v>152</v>
      </c>
      <c r="L63">
        <v>148</v>
      </c>
      <c r="M63">
        <v>148</v>
      </c>
      <c r="N63">
        <v>224</v>
      </c>
      <c r="O63">
        <f>224-27</f>
        <v>197</v>
      </c>
      <c r="P63">
        <v>197</v>
      </c>
      <c r="Q63" t="s">
        <v>63</v>
      </c>
    </row>
    <row r="64" spans="1:113" x14ac:dyDescent="0.2">
      <c r="A64" s="2"/>
      <c r="J64">
        <v>46</v>
      </c>
      <c r="K64">
        <v>92</v>
      </c>
      <c r="L64">
        <f>K64-5</f>
        <v>87</v>
      </c>
      <c r="M64">
        <v>87</v>
      </c>
      <c r="N64">
        <v>133</v>
      </c>
      <c r="O64">
        <f>N64-24</f>
        <v>109</v>
      </c>
      <c r="P64">
        <v>109</v>
      </c>
      <c r="Q64" t="s">
        <v>64</v>
      </c>
    </row>
    <row r="65" spans="1:137" x14ac:dyDescent="0.2">
      <c r="A65" t="s">
        <v>1</v>
      </c>
      <c r="B65" s="1" t="s">
        <v>2</v>
      </c>
      <c r="C65" t="s">
        <v>3</v>
      </c>
      <c r="D65">
        <v>0.3</v>
      </c>
      <c r="E65">
        <f>0.264*3</f>
        <v>0.79200000000000004</v>
      </c>
      <c r="F65">
        <v>2.21</v>
      </c>
      <c r="G65">
        <v>1.1000000000000001</v>
      </c>
      <c r="H65">
        <f>(126*0.02*0.09)*44</f>
        <v>9.9792000000000005</v>
      </c>
      <c r="I65">
        <f>(126*0.02*0.09)*41</f>
        <v>9.2988</v>
      </c>
      <c r="J65">
        <f>0.572*J63</f>
        <v>43.471999999999994</v>
      </c>
      <c r="K65">
        <f>((114+193)/2*0.02)*0.09*K63</f>
        <v>41.997599999999998</v>
      </c>
      <c r="L65">
        <f>((114+193)/2*0.02)*0.09*L63</f>
        <v>40.892399999999995</v>
      </c>
      <c r="M65">
        <f>(((5.62+2.86)/2)*0.09)*M63</f>
        <v>56.476799999999997</v>
      </c>
      <c r="N65">
        <f>((2.72*2.5)/27)*224</f>
        <v>56.414814814814818</v>
      </c>
      <c r="O65">
        <f>((2.72*2.5)/27)*197</f>
        <v>49.614814814814821</v>
      </c>
      <c r="P65">
        <f>((71*5/2)*0.02)*0.09*P63</f>
        <v>62.941499999999998</v>
      </c>
      <c r="Q65">
        <f>5.2*18</f>
        <v>93.600000000000009</v>
      </c>
      <c r="AH65">
        <v>1</v>
      </c>
      <c r="AI65">
        <f>E65/D65</f>
        <v>2.64</v>
      </c>
      <c r="AJ65">
        <f>F65/E65</f>
        <v>2.7904040404040402</v>
      </c>
      <c r="AK65">
        <f>H65/G65</f>
        <v>9.0719999999999992</v>
      </c>
      <c r="AL65">
        <f>J65/I65</f>
        <v>4.675011829483374</v>
      </c>
      <c r="AM65">
        <f>K65/J65</f>
        <v>0.96608391608391619</v>
      </c>
      <c r="AN65">
        <f>M65/L65</f>
        <v>1.3811074918566777</v>
      </c>
      <c r="AO65">
        <f>N65/M65</f>
        <v>0.99890246640770763</v>
      </c>
      <c r="AP65">
        <f>P65/O65</f>
        <v>1.2686029411764703</v>
      </c>
      <c r="AQ65">
        <f>Q65/P65</f>
        <v>1.487095159791235</v>
      </c>
      <c r="AR65">
        <f t="shared" ref="AR65:AR66" si="43">AH65</f>
        <v>1</v>
      </c>
      <c r="AS65">
        <f t="shared" ref="AS65:AS66" si="44">AI65*AR65</f>
        <v>2.64</v>
      </c>
      <c r="AT65">
        <f t="shared" ref="AT65:BA66" si="45">AJ65*AS65</f>
        <v>7.3666666666666663</v>
      </c>
      <c r="AU65">
        <f t="shared" si="45"/>
        <v>66.830399999999983</v>
      </c>
      <c r="AV65">
        <f t="shared" si="45"/>
        <v>312.43291056910562</v>
      </c>
      <c r="AW65">
        <f t="shared" si="45"/>
        <v>301.83640975609751</v>
      </c>
      <c r="AX65">
        <f t="shared" si="45"/>
        <v>416.86852682926826</v>
      </c>
      <c r="AY65">
        <f t="shared" si="45"/>
        <v>416.41099961750371</v>
      </c>
      <c r="AZ65">
        <f t="shared" si="45"/>
        <v>528.26021885299929</v>
      </c>
      <c r="BA65">
        <f t="shared" si="45"/>
        <v>785.5732145665537</v>
      </c>
      <c r="DR65" s="13"/>
      <c r="DT65" s="13"/>
    </row>
    <row r="66" spans="1:137" x14ac:dyDescent="0.2">
      <c r="A66" t="s">
        <v>1</v>
      </c>
      <c r="B66" s="1" t="s">
        <v>2</v>
      </c>
      <c r="C66" t="s">
        <v>28</v>
      </c>
      <c r="D66">
        <v>0.2</v>
      </c>
      <c r="E66">
        <f>0.274*2</f>
        <v>0.54800000000000004</v>
      </c>
      <c r="F66">
        <v>1.1399999999999999</v>
      </c>
      <c r="G66">
        <v>0.7</v>
      </c>
      <c r="H66">
        <f>(152*0.02*0.09)*(7*4)</f>
        <v>7.6608000000000001</v>
      </c>
      <c r="I66">
        <f>(152*0.02*0.09)*((7*4)-3)</f>
        <v>6.84</v>
      </c>
      <c r="J66">
        <f>0.459*J64</f>
        <v>21.114000000000001</v>
      </c>
      <c r="K66">
        <f>((0.06122+0.299)/2)*K64</f>
        <v>16.570119999999999</v>
      </c>
      <c r="L66">
        <f>((0.06122+0.299)/2)*L64</f>
        <v>15.66957</v>
      </c>
      <c r="M66">
        <f>(((4.52+2.82)/2)*0.09)*M64</f>
        <v>28.736099999999997</v>
      </c>
      <c r="N66">
        <f>((2.1*2.5)/24)*N64</f>
        <v>29.09375</v>
      </c>
      <c r="O66">
        <f>((2.1*2.5)/24)*O64</f>
        <v>23.84375</v>
      </c>
      <c r="P66">
        <f>((73*5/2)*0.02)*0.09*P64</f>
        <v>35.806499999999993</v>
      </c>
      <c r="Q66">
        <f>3.4*9</f>
        <v>30.599999999999998</v>
      </c>
      <c r="AH66">
        <v>1</v>
      </c>
      <c r="AI66">
        <f>E66/D66</f>
        <v>2.74</v>
      </c>
      <c r="AJ66">
        <f>F66/E66</f>
        <v>2.0802919708029193</v>
      </c>
      <c r="AK66">
        <f>H66/G66</f>
        <v>10.944000000000001</v>
      </c>
      <c r="AL66">
        <f>M66/I66</f>
        <v>4.2011842105263151</v>
      </c>
      <c r="AM66">
        <f>N66/M66</f>
        <v>1.0124460173788372</v>
      </c>
      <c r="AN66">
        <f>M66/L66</f>
        <v>1.8338792959857861</v>
      </c>
      <c r="AO66">
        <f>N66/M66</f>
        <v>1.0124460173788372</v>
      </c>
      <c r="AP66">
        <f>P66/O66</f>
        <v>1.5017142857142853</v>
      </c>
      <c r="AQ66">
        <f>Q66/P66</f>
        <v>0.85459343973859503</v>
      </c>
      <c r="AR66">
        <f t="shared" si="43"/>
        <v>1</v>
      </c>
      <c r="AS66">
        <f t="shared" si="44"/>
        <v>2.74</v>
      </c>
      <c r="AT66">
        <f t="shared" si="45"/>
        <v>5.6999999999999993</v>
      </c>
      <c r="AU66">
        <f t="shared" si="45"/>
        <v>62.380799999999994</v>
      </c>
      <c r="AV66">
        <f t="shared" si="45"/>
        <v>262.0732319999999</v>
      </c>
      <c r="AW66">
        <f t="shared" si="45"/>
        <v>265.33499999999992</v>
      </c>
      <c r="AX66">
        <f t="shared" si="45"/>
        <v>486.59236300038845</v>
      </c>
      <c r="AY66">
        <f t="shared" si="45"/>
        <v>492.64850000670077</v>
      </c>
      <c r="AZ66">
        <f t="shared" si="45"/>
        <v>739.81729029577673</v>
      </c>
      <c r="BA66">
        <f t="shared" si="45"/>
        <v>632.24300289195457</v>
      </c>
      <c r="DR66" s="13"/>
      <c r="DT66" s="13"/>
    </row>
    <row r="68" spans="1:137" x14ac:dyDescent="0.2">
      <c r="A68" t="s">
        <v>32</v>
      </c>
      <c r="B68" s="1" t="s">
        <v>2</v>
      </c>
      <c r="C68" t="s">
        <v>3</v>
      </c>
      <c r="D68">
        <v>0.3</v>
      </c>
      <c r="E68">
        <f>0.282*6</f>
        <v>1.6919999999999997</v>
      </c>
      <c r="F68">
        <v>3.1680000000000001</v>
      </c>
      <c r="G68">
        <v>0.8</v>
      </c>
      <c r="H68">
        <f>(56*0.02*0.09)*(8*4)</f>
        <v>3.2256</v>
      </c>
      <c r="AH68">
        <v>1</v>
      </c>
      <c r="AI68">
        <f>E68/D68</f>
        <v>5.64</v>
      </c>
      <c r="AJ68">
        <f>F68/E68</f>
        <v>1.8723404255319154</v>
      </c>
      <c r="AK68">
        <f>H68/G68</f>
        <v>4.032</v>
      </c>
      <c r="AR68">
        <f t="shared" ref="AR68:AR69" si="46">AH68</f>
        <v>1</v>
      </c>
      <c r="AS68">
        <f t="shared" ref="AS68:AS69" si="47">AI68*AR68</f>
        <v>5.64</v>
      </c>
      <c r="AT68">
        <f t="shared" ref="AT68:AT69" si="48">AJ68*AS68</f>
        <v>10.560000000000002</v>
      </c>
      <c r="AU68">
        <f>AK68*AT68</f>
        <v>42.577920000000006</v>
      </c>
      <c r="DR68" s="13"/>
      <c r="DT68" s="13"/>
      <c r="EF68" s="3"/>
      <c r="EG68" s="3"/>
    </row>
    <row r="69" spans="1:137" x14ac:dyDescent="0.2">
      <c r="A69" t="s">
        <v>32</v>
      </c>
      <c r="B69" s="1" t="s">
        <v>2</v>
      </c>
      <c r="C69" t="s">
        <v>28</v>
      </c>
      <c r="D69">
        <v>0.3</v>
      </c>
      <c r="E69">
        <f>0.33*6</f>
        <v>1.98</v>
      </c>
      <c r="F69">
        <v>3.476</v>
      </c>
      <c r="G69">
        <v>0.8</v>
      </c>
      <c r="H69">
        <f>(36*0.02*0.09)*(8*4)</f>
        <v>2.0735999999999999</v>
      </c>
      <c r="AH69">
        <v>1</v>
      </c>
      <c r="AI69">
        <f>E69/D69</f>
        <v>6.6000000000000005</v>
      </c>
      <c r="AJ69">
        <f>F69/E69</f>
        <v>1.7555555555555555</v>
      </c>
      <c r="AK69">
        <f>H69/G69</f>
        <v>2.5919999999999996</v>
      </c>
      <c r="AR69">
        <f t="shared" si="46"/>
        <v>1</v>
      </c>
      <c r="AS69">
        <f t="shared" si="47"/>
        <v>6.6000000000000005</v>
      </c>
      <c r="AT69">
        <f t="shared" si="48"/>
        <v>11.586666666666668</v>
      </c>
      <c r="AU69">
        <f>AK69*AT69</f>
        <v>30.032639999999997</v>
      </c>
      <c r="DR69" s="13"/>
      <c r="DT69" s="13"/>
      <c r="EF69" s="3"/>
      <c r="EG69" s="3"/>
    </row>
    <row r="74" spans="1:137" x14ac:dyDescent="0.2">
      <c r="B74" s="1"/>
    </row>
    <row r="75" spans="1:137" x14ac:dyDescent="0.2">
      <c r="B75" s="2"/>
    </row>
    <row r="76" spans="1:137" x14ac:dyDescent="0.2">
      <c r="B76" s="2"/>
    </row>
    <row r="77" spans="1:137" x14ac:dyDescent="0.2">
      <c r="B77" s="2"/>
    </row>
    <row r="78" spans="1:137" x14ac:dyDescent="0.2">
      <c r="B78" s="2"/>
    </row>
    <row r="82" spans="2:2" x14ac:dyDescent="0.2">
      <c r="B82" s="1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9" spans="2:2" x14ac:dyDescent="0.2">
      <c r="B89" s="1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124" spans="1:9" x14ac:dyDescent="0.2">
      <c r="A124" t="s">
        <v>21</v>
      </c>
      <c r="C124" t="s">
        <v>23</v>
      </c>
    </row>
    <row r="125" spans="1:9" x14ac:dyDescent="0.2">
      <c r="A125" t="s">
        <v>22</v>
      </c>
      <c r="B125" s="1" t="s">
        <v>2</v>
      </c>
      <c r="C125" t="s">
        <v>3</v>
      </c>
    </row>
    <row r="126" spans="1:9" x14ac:dyDescent="0.2">
      <c r="A126" t="s">
        <v>1</v>
      </c>
      <c r="C126" s="1" t="s">
        <v>24</v>
      </c>
      <c r="D126" s="1" t="s">
        <v>25</v>
      </c>
      <c r="E126" s="1" t="s">
        <v>26</v>
      </c>
      <c r="F126" s="1" t="s">
        <v>27</v>
      </c>
      <c r="G126" t="s">
        <v>8</v>
      </c>
      <c r="H126" s="1" t="s">
        <v>24</v>
      </c>
      <c r="I126" s="1" t="s">
        <v>27</v>
      </c>
    </row>
    <row r="127" spans="1:9" x14ac:dyDescent="0.2">
      <c r="B127" s="2">
        <v>42440</v>
      </c>
      <c r="C127">
        <v>45.876520955385317</v>
      </c>
      <c r="D127">
        <v>45.718792248760707</v>
      </c>
      <c r="E127">
        <v>40.513744930148718</v>
      </c>
      <c r="F127">
        <v>30.689499774673269</v>
      </c>
      <c r="H127">
        <v>45.245606128886891</v>
      </c>
      <c r="I127">
        <v>12.618296529968468</v>
      </c>
    </row>
    <row r="128" spans="1:9" x14ac:dyDescent="0.2">
      <c r="B128" s="2">
        <v>42468</v>
      </c>
      <c r="C128">
        <v>47.29126832377311</v>
      </c>
      <c r="D128">
        <v>41.20458891013385</v>
      </c>
      <c r="E128">
        <v>32.5685149776928</v>
      </c>
      <c r="F128">
        <v>23.709369024856606</v>
      </c>
      <c r="H128">
        <v>23.964308476736772</v>
      </c>
      <c r="I128">
        <v>-9.5602294455066925</v>
      </c>
    </row>
    <row r="129" spans="1:9" x14ac:dyDescent="0.2">
      <c r="B129" s="2">
        <v>42488</v>
      </c>
      <c r="C129">
        <v>69.187675070028021</v>
      </c>
      <c r="D129">
        <v>70.903361344537814</v>
      </c>
      <c r="E129">
        <v>63.515406162464984</v>
      </c>
      <c r="F129">
        <v>55.602240896358538</v>
      </c>
      <c r="H129">
        <v>4.7619047619047592</v>
      </c>
      <c r="I129">
        <v>-26.540616246498583</v>
      </c>
    </row>
    <row r="130" spans="1:9" x14ac:dyDescent="0.2">
      <c r="B130" s="2">
        <v>42496</v>
      </c>
    </row>
    <row r="134" spans="1:9" x14ac:dyDescent="0.2">
      <c r="A134" t="s">
        <v>1</v>
      </c>
      <c r="B134" s="1" t="s">
        <v>4</v>
      </c>
      <c r="C134" t="s">
        <v>3</v>
      </c>
    </row>
    <row r="135" spans="1:9" x14ac:dyDescent="0.2">
      <c r="B135" s="2">
        <v>42440</v>
      </c>
      <c r="C135">
        <v>46.552501126633608</v>
      </c>
      <c r="D135">
        <v>42.902208201892748</v>
      </c>
      <c r="E135">
        <v>35.511491662911226</v>
      </c>
      <c r="F135">
        <v>33.168093735917076</v>
      </c>
      <c r="H135">
        <v>33.844073907165381</v>
      </c>
      <c r="I135">
        <v>12.392969806219023</v>
      </c>
    </row>
    <row r="136" spans="1:9" x14ac:dyDescent="0.2">
      <c r="B136" s="2">
        <v>42468</v>
      </c>
      <c r="C136">
        <v>52.007648183556398</v>
      </c>
      <c r="D136">
        <v>40.089228808158069</v>
      </c>
      <c r="E136">
        <v>32.249840662842587</v>
      </c>
      <c r="F136">
        <v>16.571064372211609</v>
      </c>
      <c r="H136">
        <v>25.621414913957945</v>
      </c>
      <c r="I136">
        <v>-17.527087316762248</v>
      </c>
    </row>
    <row r="137" spans="1:9" x14ac:dyDescent="0.2">
      <c r="B137" s="2">
        <v>42496</v>
      </c>
    </row>
    <row r="141" spans="1:9" x14ac:dyDescent="0.2">
      <c r="A141" t="s">
        <v>1</v>
      </c>
      <c r="B141" s="1" t="s">
        <v>2</v>
      </c>
      <c r="C141" t="s">
        <v>28</v>
      </c>
    </row>
    <row r="142" spans="1:9" x14ac:dyDescent="0.2">
      <c r="B142" s="2">
        <v>42440</v>
      </c>
      <c r="C142">
        <v>39.702568724650746</v>
      </c>
      <c r="D142">
        <v>37.06624605678234</v>
      </c>
      <c r="E142">
        <v>35.962145110410091</v>
      </c>
      <c r="F142">
        <v>25.326723749436692</v>
      </c>
      <c r="H142">
        <v>21.090581342947274</v>
      </c>
      <c r="I142">
        <v>1.0365029292474075</v>
      </c>
    </row>
    <row r="143" spans="1:9" x14ac:dyDescent="0.2">
      <c r="B143" s="2">
        <v>42468</v>
      </c>
      <c r="C143">
        <v>51.81644359464628</v>
      </c>
      <c r="D143">
        <v>48.948374760994263</v>
      </c>
      <c r="E143">
        <v>44.678138942001276</v>
      </c>
      <c r="F143">
        <v>27.852135117909498</v>
      </c>
      <c r="H143">
        <v>32.122370936902492</v>
      </c>
      <c r="I143">
        <v>-13.25685149776926</v>
      </c>
    </row>
    <row r="144" spans="1:9" x14ac:dyDescent="0.2">
      <c r="B144" s="2">
        <v>42496</v>
      </c>
    </row>
    <row r="154" spans="1:14" x14ac:dyDescent="0.2">
      <c r="C154">
        <v>20</v>
      </c>
    </row>
    <row r="155" spans="1:14" x14ac:dyDescent="0.2">
      <c r="C155" t="s">
        <v>7</v>
      </c>
      <c r="D155" t="s">
        <v>43</v>
      </c>
      <c r="E155" t="s">
        <v>42</v>
      </c>
      <c r="F155" t="s">
        <v>11</v>
      </c>
      <c r="G155" t="s">
        <v>50</v>
      </c>
    </row>
    <row r="156" spans="1:14" x14ac:dyDescent="0.2">
      <c r="A156">
        <v>20</v>
      </c>
      <c r="B156" t="s">
        <v>48</v>
      </c>
      <c r="C156">
        <f>C157+12</f>
        <v>234</v>
      </c>
      <c r="D156">
        <f>(64*0.02)</f>
        <v>1.28</v>
      </c>
      <c r="E156">
        <f>D156/12</f>
        <v>0.10666666666666667</v>
      </c>
      <c r="F156">
        <f>E156*C156</f>
        <v>24.96</v>
      </c>
      <c r="G156">
        <f>F156-D156</f>
        <v>23.68</v>
      </c>
    </row>
    <row r="157" spans="1:14" x14ac:dyDescent="0.2">
      <c r="A157">
        <v>21</v>
      </c>
      <c r="C157">
        <f>214+8</f>
        <v>222</v>
      </c>
      <c r="D157">
        <f>(96*0.02)*25</f>
        <v>48</v>
      </c>
      <c r="E157">
        <f>D157/(C157-8)</f>
        <v>0.22429906542056074</v>
      </c>
      <c r="F157">
        <f>E157*C157</f>
        <v>49.794392523364486</v>
      </c>
    </row>
    <row r="158" spans="1:14" x14ac:dyDescent="0.2">
      <c r="K158">
        <f>222+12</f>
        <v>234</v>
      </c>
      <c r="N158">
        <f>6*4</f>
        <v>24</v>
      </c>
    </row>
    <row r="159" spans="1:14" x14ac:dyDescent="0.2">
      <c r="A159">
        <v>20</v>
      </c>
      <c r="B159" t="s">
        <v>49</v>
      </c>
      <c r="C159">
        <f>C160+12</f>
        <v>204</v>
      </c>
      <c r="D159">
        <f>(46*0.02)</f>
        <v>0.92</v>
      </c>
      <c r="E159">
        <f>D159/12</f>
        <v>7.6666666666666675E-2</v>
      </c>
      <c r="F159">
        <f>E159*C159</f>
        <v>15.640000000000002</v>
      </c>
      <c r="G159">
        <f>F159-D159</f>
        <v>14.720000000000002</v>
      </c>
      <c r="N159">
        <f>16*2</f>
        <v>32</v>
      </c>
    </row>
    <row r="160" spans="1:14" x14ac:dyDescent="0.2">
      <c r="A160">
        <v>21</v>
      </c>
      <c r="C160">
        <f>184+8</f>
        <v>192</v>
      </c>
      <c r="D160">
        <f>(56*0.02)*19</f>
        <v>21.28</v>
      </c>
      <c r="E160">
        <f>D160/(C160-8)</f>
        <v>0.11565217391304349</v>
      </c>
      <c r="F160">
        <f>E160*C160</f>
        <v>22.205217391304348</v>
      </c>
      <c r="N160">
        <v>16</v>
      </c>
    </row>
    <row r="161" spans="5:14" x14ac:dyDescent="0.2">
      <c r="E161">
        <f>6*4</f>
        <v>24</v>
      </c>
      <c r="N161">
        <v>16</v>
      </c>
    </row>
    <row r="162" spans="5:14" x14ac:dyDescent="0.2">
      <c r="E162">
        <f>16*2</f>
        <v>32</v>
      </c>
      <c r="N162">
        <f>6*4</f>
        <v>24</v>
      </c>
    </row>
    <row r="163" spans="5:14" x14ac:dyDescent="0.2">
      <c r="E163">
        <f>16</f>
        <v>16</v>
      </c>
      <c r="N163">
        <f>4*11</f>
        <v>44</v>
      </c>
    </row>
    <row r="164" spans="5:14" x14ac:dyDescent="0.2">
      <c r="E164">
        <v>16</v>
      </c>
      <c r="N164">
        <v>16</v>
      </c>
    </row>
    <row r="165" spans="5:14" x14ac:dyDescent="0.2">
      <c r="E165">
        <f>96</f>
        <v>96</v>
      </c>
      <c r="N165">
        <f>4*7</f>
        <v>28</v>
      </c>
    </row>
    <row r="166" spans="5:14" x14ac:dyDescent="0.2">
      <c r="E166">
        <f>SUM(E161:E165)</f>
        <v>184</v>
      </c>
      <c r="N166">
        <f>16-2</f>
        <v>14</v>
      </c>
    </row>
    <row r="167" spans="5:14" x14ac:dyDescent="0.2">
      <c r="N167">
        <f>SUM(N158:N166)</f>
        <v>214</v>
      </c>
    </row>
  </sheetData>
  <phoneticPr fontId="4" type="noConversion"/>
  <pageMargins left="0.75000000000000011" right="0.75000000000000011" top="1" bottom="1" header="0.5" footer="0.5"/>
  <pageSetup paperSize="9" scale="1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89"/>
  <sheetViews>
    <sheetView topLeftCell="A20" workbookViewId="0">
      <selection activeCell="C46" sqref="C46"/>
    </sheetView>
  </sheetViews>
  <sheetFormatPr baseColWidth="10" defaultRowHeight="16" x14ac:dyDescent="0.2"/>
  <sheetData>
    <row r="3" spans="2:12" x14ac:dyDescent="0.2">
      <c r="B3" s="2"/>
      <c r="L3" s="2"/>
    </row>
    <row r="4" spans="2:12" x14ac:dyDescent="0.2">
      <c r="D4" s="1"/>
    </row>
    <row r="5" spans="2:12" x14ac:dyDescent="0.2">
      <c r="D5" s="1"/>
    </row>
    <row r="6" spans="2:12" x14ac:dyDescent="0.2">
      <c r="D6" s="1"/>
    </row>
    <row r="8" spans="2:12" x14ac:dyDescent="0.2">
      <c r="D8" s="1"/>
      <c r="L8" s="2"/>
    </row>
    <row r="9" spans="2:12" x14ac:dyDescent="0.2">
      <c r="D9" s="1"/>
    </row>
    <row r="10" spans="2:12" x14ac:dyDescent="0.2">
      <c r="D10" s="1"/>
    </row>
    <row r="11" spans="2:12" x14ac:dyDescent="0.2">
      <c r="L11" s="2"/>
    </row>
    <row r="20" spans="2:9" x14ac:dyDescent="0.2">
      <c r="B20" s="1"/>
      <c r="D20" t="s">
        <v>1</v>
      </c>
      <c r="E20" t="s">
        <v>3</v>
      </c>
      <c r="F20">
        <v>0</v>
      </c>
      <c r="G20">
        <v>1</v>
      </c>
      <c r="H20">
        <v>2</v>
      </c>
      <c r="I20">
        <v>3</v>
      </c>
    </row>
    <row r="21" spans="2:9" x14ac:dyDescent="0.2">
      <c r="D21">
        <v>1</v>
      </c>
      <c r="E21" s="2">
        <v>42440</v>
      </c>
      <c r="F21">
        <v>1</v>
      </c>
      <c r="G21">
        <f>'Raw expansion data'!AI4</f>
        <v>7.8666666666666663</v>
      </c>
      <c r="H21">
        <f>'Raw expansion data'!AJ4*'Raw expansion data'!AK4</f>
        <v>7.0666666666666664</v>
      </c>
      <c r="I21">
        <f>'Raw expansion data'!AL4</f>
        <v>4.2767295597484276</v>
      </c>
    </row>
    <row r="22" spans="2:9" x14ac:dyDescent="0.2">
      <c r="D22">
        <v>2</v>
      </c>
      <c r="E22" s="2">
        <v>42468</v>
      </c>
      <c r="F22">
        <v>1</v>
      </c>
      <c r="G22">
        <f>'Raw expansion data'!AI14</f>
        <v>4.3999999999999995</v>
      </c>
      <c r="H22">
        <f>'Raw expansion data'!AJ14</f>
        <v>3.5891647855530477</v>
      </c>
      <c r="I22">
        <f>'Raw expansion data'!AK14</f>
        <v>0.35094339622641513</v>
      </c>
    </row>
    <row r="23" spans="2:9" x14ac:dyDescent="0.2">
      <c r="D23">
        <v>3</v>
      </c>
      <c r="E23" s="2">
        <v>42488</v>
      </c>
      <c r="F23">
        <v>1</v>
      </c>
      <c r="G23">
        <f>'Raw expansion data'!AI23</f>
        <v>9.7999999999999989</v>
      </c>
      <c r="H23">
        <f>'Raw expansion data'!AJ23*'Raw expansion data'!AK23</f>
        <v>12.799999999999999</v>
      </c>
      <c r="I23">
        <f>'Raw expansion data'!AL23</f>
        <v>3.4027777777777781</v>
      </c>
    </row>
    <row r="24" spans="2:9" x14ac:dyDescent="0.2">
      <c r="D24">
        <v>4</v>
      </c>
      <c r="E24" s="2">
        <v>42496</v>
      </c>
      <c r="F24">
        <v>1</v>
      </c>
      <c r="G24">
        <f>'Raw expansion data'!AI31</f>
        <v>8.3999999999999986</v>
      </c>
      <c r="H24">
        <f>'Raw expansion data'!AJ31*'Raw expansion data'!AK31</f>
        <v>12.908496732026144</v>
      </c>
      <c r="I24">
        <f>'Raw expansion data'!AL31</f>
        <v>2.2683544303797465</v>
      </c>
    </row>
    <row r="25" spans="2:9" x14ac:dyDescent="0.2">
      <c r="E25" s="2" t="s">
        <v>70</v>
      </c>
      <c r="F25">
        <v>1</v>
      </c>
      <c r="G25">
        <f>'Raw expansion data'!AI42</f>
        <v>7.6000000000000014</v>
      </c>
      <c r="H25">
        <f>'Raw expansion data'!AJ42</f>
        <v>6.5599999999999978</v>
      </c>
      <c r="I25">
        <f>'Raw expansion data'!AK42*'Raw expansion data'!AL42*'Raw expansion data'!AM42*'Raw expansion data'!AN42*'Raw expansion data'!AO42</f>
        <v>1.949656035021889</v>
      </c>
    </row>
    <row r="26" spans="2:9" x14ac:dyDescent="0.2">
      <c r="E26" s="2" t="s">
        <v>66</v>
      </c>
      <c r="F26">
        <v>1</v>
      </c>
      <c r="G26">
        <f>'Raw expansion data'!AI49*'Raw expansion data'!AJ49</f>
        <v>12.799999999999999</v>
      </c>
      <c r="H26">
        <f>'Raw expansion data'!AK49</f>
        <v>10</v>
      </c>
      <c r="I26">
        <f>'Raw expansion data'!AL49*'Raw expansion data'!AM49*'Raw expansion data'!AN49</f>
        <v>3.2741554054054056</v>
      </c>
    </row>
    <row r="27" spans="2:9" x14ac:dyDescent="0.2">
      <c r="E27" s="2" t="s">
        <v>67</v>
      </c>
      <c r="F27">
        <v>1</v>
      </c>
      <c r="G27">
        <f>'Raw expansion data'!AI56</f>
        <v>9</v>
      </c>
      <c r="H27">
        <f>'Raw expansion data'!AJ56</f>
        <v>12.480000000000002</v>
      </c>
      <c r="I27">
        <f>'Raw expansion data'!AK56*'Raw expansion data'!AL56*'Raw expansion data'!AM56</f>
        <v>3.4615384615384617</v>
      </c>
    </row>
    <row r="28" spans="2:9" x14ac:dyDescent="0.2">
      <c r="E28" s="2" t="s">
        <v>71</v>
      </c>
      <c r="F28">
        <v>1</v>
      </c>
      <c r="G28">
        <f>'Raw expansion data'!AI65*'Raw expansion data'!AJ65</f>
        <v>7.3666666666666663</v>
      </c>
      <c r="H28">
        <f>'Raw expansion data'!AK65</f>
        <v>9.0719999999999992</v>
      </c>
      <c r="I28">
        <f>'Raw expansion data'!AL65*'Raw expansion data'!AM65*'Raw expansion data'!AN65*'Raw expansion data'!AO65*'Raw expansion data'!AP65</f>
        <v>7.9044898557093681</v>
      </c>
    </row>
    <row r="29" spans="2:9" x14ac:dyDescent="0.2">
      <c r="E29" s="2"/>
    </row>
    <row r="30" spans="2:9" x14ac:dyDescent="0.2">
      <c r="E30" t="s">
        <v>46</v>
      </c>
      <c r="F30">
        <v>1</v>
      </c>
      <c r="G30">
        <f>AVERAGE(G21:G28)</f>
        <v>8.404166666666665</v>
      </c>
      <c r="H30">
        <f>AVERAGE(H21:H28)</f>
        <v>9.3095410230307323</v>
      </c>
      <c r="I30">
        <f>AVERAGE(I21:I28)</f>
        <v>3.3610806152259367</v>
      </c>
    </row>
    <row r="31" spans="2:9" x14ac:dyDescent="0.2">
      <c r="E31" t="s">
        <v>20</v>
      </c>
      <c r="F31">
        <f>STDEV(F21:F24)</f>
        <v>0</v>
      </c>
      <c r="G31">
        <f>STDEV(G21:G28)</f>
        <v>2.3806386698091089</v>
      </c>
      <c r="H31">
        <f>STDEV(H21:H28)</f>
        <v>3.4023924574255671</v>
      </c>
      <c r="I31">
        <f>STDEV(I21:I28)</f>
        <v>2.1956926300088804</v>
      </c>
    </row>
    <row r="33" spans="2:11" x14ac:dyDescent="0.2">
      <c r="C33" t="s">
        <v>72</v>
      </c>
    </row>
    <row r="34" spans="2:11" x14ac:dyDescent="0.2">
      <c r="B34" s="1"/>
      <c r="C34" t="s">
        <v>1</v>
      </c>
      <c r="D34" s="1"/>
      <c r="E34" t="s">
        <v>3</v>
      </c>
      <c r="F34">
        <v>0</v>
      </c>
      <c r="G34">
        <v>1</v>
      </c>
      <c r="H34">
        <v>2</v>
      </c>
      <c r="I34">
        <v>3</v>
      </c>
    </row>
    <row r="35" spans="2:11" x14ac:dyDescent="0.2">
      <c r="E35" s="2">
        <f t="shared" ref="E35:E42" si="0">E21</f>
        <v>42440</v>
      </c>
      <c r="F35">
        <v>1</v>
      </c>
      <c r="G35">
        <f t="shared" ref="G35:G42" si="1">G21</f>
        <v>7.8666666666666663</v>
      </c>
      <c r="H35">
        <f t="shared" ref="H35:I42" si="2">H21*G35</f>
        <v>55.591111111111104</v>
      </c>
      <c r="I35">
        <f t="shared" si="2"/>
        <v>237.74814814814812</v>
      </c>
    </row>
    <row r="36" spans="2:11" x14ac:dyDescent="0.2">
      <c r="E36" s="2">
        <f t="shared" si="0"/>
        <v>42468</v>
      </c>
      <c r="F36">
        <v>1</v>
      </c>
      <c r="G36">
        <f t="shared" si="1"/>
        <v>4.3999999999999995</v>
      </c>
      <c r="H36">
        <f t="shared" si="2"/>
        <v>15.792325056433409</v>
      </c>
      <c r="I36">
        <f t="shared" si="2"/>
        <v>5.5422121896162535</v>
      </c>
    </row>
    <row r="37" spans="2:11" x14ac:dyDescent="0.2">
      <c r="E37" s="2">
        <f t="shared" si="0"/>
        <v>42488</v>
      </c>
      <c r="F37">
        <v>1</v>
      </c>
      <c r="G37">
        <f t="shared" si="1"/>
        <v>9.7999999999999989</v>
      </c>
      <c r="H37">
        <f t="shared" si="2"/>
        <v>125.43999999999997</v>
      </c>
      <c r="I37">
        <f t="shared" si="2"/>
        <v>426.84444444444438</v>
      </c>
    </row>
    <row r="38" spans="2:11" x14ac:dyDescent="0.2">
      <c r="E38" s="2">
        <f t="shared" si="0"/>
        <v>42496</v>
      </c>
      <c r="F38">
        <v>1</v>
      </c>
      <c r="G38">
        <f t="shared" si="1"/>
        <v>8.3999999999999986</v>
      </c>
      <c r="H38">
        <f t="shared" si="2"/>
        <v>108.4313725490196</v>
      </c>
      <c r="I38">
        <f t="shared" si="2"/>
        <v>245.96078431372544</v>
      </c>
    </row>
    <row r="39" spans="2:11" x14ac:dyDescent="0.2">
      <c r="E39" s="2" t="str">
        <f t="shared" si="0"/>
        <v>preclin1</v>
      </c>
      <c r="F39">
        <v>1</v>
      </c>
      <c r="G39">
        <f t="shared" si="1"/>
        <v>7.6000000000000014</v>
      </c>
      <c r="H39">
        <f t="shared" si="2"/>
        <v>49.855999999999995</v>
      </c>
      <c r="I39">
        <f t="shared" si="2"/>
        <v>97.202051282051286</v>
      </c>
    </row>
    <row r="40" spans="2:11" x14ac:dyDescent="0.2">
      <c r="E40" s="2" t="str">
        <f t="shared" si="0"/>
        <v>preclin2</v>
      </c>
      <c r="F40">
        <v>1</v>
      </c>
      <c r="G40">
        <f t="shared" si="1"/>
        <v>12.799999999999999</v>
      </c>
      <c r="H40">
        <f t="shared" si="2"/>
        <v>127.99999999999999</v>
      </c>
      <c r="I40">
        <f t="shared" si="2"/>
        <v>419.09189189189186</v>
      </c>
    </row>
    <row r="41" spans="2:11" x14ac:dyDescent="0.2">
      <c r="E41" s="2" t="str">
        <f t="shared" si="0"/>
        <v>preclin3</v>
      </c>
      <c r="F41">
        <v>1</v>
      </c>
      <c r="G41">
        <f t="shared" si="1"/>
        <v>9</v>
      </c>
      <c r="H41">
        <f t="shared" si="2"/>
        <v>112.32000000000002</v>
      </c>
      <c r="I41">
        <f t="shared" si="2"/>
        <v>388.80000000000007</v>
      </c>
    </row>
    <row r="42" spans="2:11" x14ac:dyDescent="0.2">
      <c r="E42" s="2" t="str">
        <f t="shared" si="0"/>
        <v>Preclin4</v>
      </c>
      <c r="F42">
        <v>1</v>
      </c>
      <c r="G42">
        <f t="shared" si="1"/>
        <v>7.3666666666666663</v>
      </c>
      <c r="H42">
        <f t="shared" si="2"/>
        <v>66.830399999999983</v>
      </c>
      <c r="I42">
        <f t="shared" si="2"/>
        <v>528.26021885299917</v>
      </c>
    </row>
    <row r="43" spans="2:11" x14ac:dyDescent="0.2">
      <c r="B43" s="1"/>
      <c r="E43" t="s">
        <v>46</v>
      </c>
      <c r="F43">
        <f>AVERAGE(F35:F42)</f>
        <v>1</v>
      </c>
      <c r="G43">
        <f>AVERAGE(G35:G42)</f>
        <v>8.404166666666665</v>
      </c>
      <c r="H43">
        <f>AVERAGE(H35:H42)</f>
        <v>82.782651089570507</v>
      </c>
      <c r="I43">
        <f>AVERAGE(I35:I42)</f>
        <v>293.68121889035956</v>
      </c>
      <c r="K43" s="3"/>
    </row>
    <row r="44" spans="2:11" x14ac:dyDescent="0.2">
      <c r="E44" t="s">
        <v>20</v>
      </c>
      <c r="F44">
        <f>STDEV(F35:F42)</f>
        <v>0</v>
      </c>
      <c r="G44">
        <f>STDEV(G35:G42)</f>
        <v>2.3806386698091089</v>
      </c>
      <c r="H44">
        <f>STDEV(H35:H42)</f>
        <v>41.335374416282221</v>
      </c>
      <c r="I44">
        <f>STDEV(I35:I42)</f>
        <v>179.11252251479956</v>
      </c>
      <c r="K44" s="3"/>
    </row>
    <row r="45" spans="2:11" x14ac:dyDescent="0.2">
      <c r="K45" s="3"/>
    </row>
    <row r="46" spans="2:11" x14ac:dyDescent="0.2">
      <c r="K46" s="3"/>
    </row>
    <row r="47" spans="2:11" x14ac:dyDescent="0.2">
      <c r="K47" s="3"/>
    </row>
    <row r="48" spans="2:11" x14ac:dyDescent="0.2">
      <c r="E48" s="2"/>
    </row>
    <row r="49" spans="5:5" x14ac:dyDescent="0.2">
      <c r="E49" s="2"/>
    </row>
    <row r="75" spans="4:5" x14ac:dyDescent="0.2">
      <c r="D75" s="1"/>
    </row>
    <row r="76" spans="4:5" x14ac:dyDescent="0.2">
      <c r="E76" s="2"/>
    </row>
    <row r="77" spans="4:5" x14ac:dyDescent="0.2">
      <c r="E77" s="2"/>
    </row>
    <row r="78" spans="4:5" x14ac:dyDescent="0.2">
      <c r="E78" s="2"/>
    </row>
    <row r="81" spans="4:5" x14ac:dyDescent="0.2">
      <c r="E81" s="2"/>
    </row>
    <row r="82" spans="4:5" x14ac:dyDescent="0.2">
      <c r="D82" s="1"/>
    </row>
    <row r="83" spans="4:5" x14ac:dyDescent="0.2">
      <c r="E83" s="2"/>
    </row>
    <row r="84" spans="4:5" x14ac:dyDescent="0.2">
      <c r="E84" s="2"/>
    </row>
    <row r="85" spans="4:5" x14ac:dyDescent="0.2">
      <c r="E85" s="2"/>
    </row>
    <row r="86" spans="4:5" x14ac:dyDescent="0.2">
      <c r="E86" s="2"/>
    </row>
    <row r="87" spans="4:5" x14ac:dyDescent="0.2">
      <c r="E87" s="2"/>
    </row>
    <row r="88" spans="4:5" x14ac:dyDescent="0.2">
      <c r="E88" s="2"/>
    </row>
    <row r="89" spans="4:5" x14ac:dyDescent="0.2">
      <c r="E89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O77"/>
  <sheetViews>
    <sheetView topLeftCell="A29" workbookViewId="0">
      <selection activeCell="H29" sqref="H1:H1048576"/>
    </sheetView>
  </sheetViews>
  <sheetFormatPr baseColWidth="10" defaultRowHeight="16" x14ac:dyDescent="0.2"/>
  <cols>
    <col min="3" max="3" width="20.6640625" customWidth="1"/>
    <col min="5" max="5" width="17.1640625" customWidth="1"/>
    <col min="11" max="11" width="19.6640625" customWidth="1"/>
    <col min="19" max="19" width="19.5" customWidth="1"/>
    <col min="35" max="35" width="13.5" customWidth="1"/>
    <col min="52" max="52" width="19.1640625" customWidth="1"/>
    <col min="54" max="54" width="16" customWidth="1"/>
  </cols>
  <sheetData>
    <row r="2" spans="2:67" x14ac:dyDescent="0.2">
      <c r="AX2" t="s">
        <v>73</v>
      </c>
    </row>
    <row r="7" spans="2:67" x14ac:dyDescent="0.2">
      <c r="B7" t="s">
        <v>106</v>
      </c>
      <c r="L7" t="s">
        <v>106</v>
      </c>
    </row>
    <row r="8" spans="2:67" x14ac:dyDescent="0.2">
      <c r="B8" t="s">
        <v>105</v>
      </c>
      <c r="C8" s="10" t="s">
        <v>51</v>
      </c>
      <c r="D8" s="10" t="s">
        <v>52</v>
      </c>
      <c r="E8" s="10" t="s">
        <v>69</v>
      </c>
      <c r="F8" s="10" t="s">
        <v>68</v>
      </c>
      <c r="G8" s="10" t="s">
        <v>70</v>
      </c>
      <c r="H8" s="10" t="s">
        <v>66</v>
      </c>
      <c r="I8" s="10" t="s">
        <v>67</v>
      </c>
      <c r="J8" s="10" t="s">
        <v>65</v>
      </c>
      <c r="L8" t="s">
        <v>109</v>
      </c>
      <c r="M8" s="10" t="s">
        <v>51</v>
      </c>
      <c r="N8" s="10" t="s">
        <v>52</v>
      </c>
      <c r="O8" s="10" t="s">
        <v>69</v>
      </c>
      <c r="P8" s="10" t="s">
        <v>68</v>
      </c>
      <c r="Q8" s="10" t="s">
        <v>70</v>
      </c>
      <c r="R8" s="10" t="s">
        <v>66</v>
      </c>
      <c r="S8" s="10" t="s">
        <v>67</v>
      </c>
      <c r="T8" s="10" t="s">
        <v>65</v>
      </c>
    </row>
    <row r="9" spans="2:67" x14ac:dyDescent="0.2">
      <c r="B9" s="1" t="s">
        <v>24</v>
      </c>
      <c r="C9" s="9">
        <f>G35</f>
        <v>45.876520955385317</v>
      </c>
      <c r="D9" s="9">
        <f>O35</f>
        <v>47.29126832377311</v>
      </c>
      <c r="E9" s="9">
        <f>W35</f>
        <v>69.187675070028021</v>
      </c>
      <c r="F9" s="9"/>
      <c r="G9" s="9">
        <f>AM34</f>
        <v>74.502579218865137</v>
      </c>
      <c r="H9" s="9">
        <f>AU34</f>
        <v>72.294191391558698</v>
      </c>
      <c r="I9" s="9">
        <f>BD34</f>
        <v>72.234762979683978</v>
      </c>
      <c r="J9" s="9">
        <f>BN34</f>
        <v>64.293659621802021</v>
      </c>
      <c r="L9" s="1" t="s">
        <v>24</v>
      </c>
      <c r="M9" s="10"/>
      <c r="N9" s="10"/>
      <c r="O9" s="10"/>
      <c r="P9" s="9">
        <f>AE13</f>
        <v>48.235294117647058</v>
      </c>
      <c r="Q9" s="9">
        <f>AM13</f>
        <v>64.316755190729097</v>
      </c>
      <c r="R9" s="9">
        <f>AU13</f>
        <v>72.800972841507914</v>
      </c>
      <c r="S9" s="9">
        <f>BD14</f>
        <v>74.249165739710804</v>
      </c>
      <c r="T9" s="9">
        <f>BN13</f>
        <v>70.556552962298042</v>
      </c>
    </row>
    <row r="10" spans="2:67" x14ac:dyDescent="0.2">
      <c r="B10" s="1" t="s">
        <v>25</v>
      </c>
      <c r="C10" s="9">
        <f>G36</f>
        <v>45.718792248760707</v>
      </c>
      <c r="D10" s="9">
        <f>O36</f>
        <v>41.20458891013385</v>
      </c>
      <c r="E10" s="9">
        <f>W36</f>
        <v>70.903361344537814</v>
      </c>
      <c r="F10" s="10"/>
      <c r="G10" s="9">
        <f>AM35</f>
        <v>61.974944731024316</v>
      </c>
      <c r="H10" s="9">
        <f>AU35</f>
        <v>65.461763476807349</v>
      </c>
      <c r="I10" s="9">
        <f>BD35</f>
        <v>70</v>
      </c>
      <c r="J10" s="9">
        <f>BN35</f>
        <v>60.539488320355957</v>
      </c>
      <c r="L10" s="1" t="s">
        <v>25</v>
      </c>
      <c r="M10" s="10"/>
      <c r="N10" s="10"/>
      <c r="O10" s="10"/>
      <c r="P10" s="9">
        <f>AE14</f>
        <v>44.145658263305322</v>
      </c>
      <c r="Q10" s="9">
        <f>AM14</f>
        <v>52.559150169000482</v>
      </c>
      <c r="R10" s="9">
        <f>AU14</f>
        <v>65.220916092419941</v>
      </c>
      <c r="S10" s="9">
        <f>BD15</f>
        <v>55.867630700778633</v>
      </c>
      <c r="T10" s="9">
        <f>BN14</f>
        <v>62.634649910233399</v>
      </c>
    </row>
    <row r="11" spans="2:67" x14ac:dyDescent="0.2">
      <c r="B11" s="1" t="s">
        <v>26</v>
      </c>
      <c r="C11" s="9">
        <f>G37</f>
        <v>40.513744930148718</v>
      </c>
      <c r="D11" s="9">
        <f>O37</f>
        <v>32.5685149776928</v>
      </c>
      <c r="E11" s="9">
        <f>W37</f>
        <v>63.515406162464984</v>
      </c>
      <c r="F11" s="10"/>
      <c r="G11" s="9">
        <f>AM36</f>
        <v>55.19528371407516</v>
      </c>
      <c r="H11" s="9">
        <f>AU36</f>
        <v>51.441704972837456</v>
      </c>
      <c r="I11" s="9">
        <f>BD36</f>
        <v>61.354401805869074</v>
      </c>
      <c r="J11" s="9">
        <f>BN36</f>
        <v>50.444938820912135</v>
      </c>
      <c r="L11" s="1" t="s">
        <v>26</v>
      </c>
      <c r="M11" s="10"/>
      <c r="N11" s="10"/>
      <c r="O11" s="10"/>
      <c r="P11" s="9">
        <f>AE15</f>
        <v>28.739495798319332</v>
      </c>
      <c r="Q11" s="9">
        <f>AM15</f>
        <v>38.580395943988407</v>
      </c>
      <c r="R11" s="9">
        <f>AU15</f>
        <v>49.817592217267936</v>
      </c>
      <c r="S11" s="9">
        <f>BD16</f>
        <v>45.050055617352626</v>
      </c>
      <c r="T11" s="9">
        <f>BN15</f>
        <v>47.890484739676836</v>
      </c>
    </row>
    <row r="12" spans="2:67" x14ac:dyDescent="0.2">
      <c r="B12" s="1" t="s">
        <v>27</v>
      </c>
      <c r="C12" s="9">
        <f>G38</f>
        <v>30.689499774673269</v>
      </c>
      <c r="D12" s="9">
        <f>O38</f>
        <v>23.709369024856606</v>
      </c>
      <c r="E12" s="9">
        <f>W38</f>
        <v>55.602240896358538</v>
      </c>
      <c r="F12" s="10"/>
      <c r="G12" s="9">
        <f>AM37</f>
        <v>43.478260869565219</v>
      </c>
      <c r="H12" s="9">
        <f>AU37</f>
        <v>41.1199331383201</v>
      </c>
      <c r="I12" s="9">
        <f>BD37</f>
        <v>51.873589164785535</v>
      </c>
      <c r="J12" s="9">
        <f>BN37</f>
        <v>34.872080088987758</v>
      </c>
      <c r="L12" s="1" t="s">
        <v>27</v>
      </c>
      <c r="M12" s="10"/>
      <c r="N12" s="10"/>
      <c r="O12" s="10"/>
      <c r="P12" s="9">
        <f>AE16</f>
        <v>18.431372549019613</v>
      </c>
      <c r="Q12" s="9">
        <f>AM16</f>
        <v>26.653790439401252</v>
      </c>
      <c r="R12" s="9">
        <f>AU16</f>
        <v>47.628698824483187</v>
      </c>
      <c r="S12" s="9">
        <f>BD17</f>
        <v>40.600667408231374</v>
      </c>
      <c r="T12" s="9">
        <f>BN16</f>
        <v>40.439856373429087</v>
      </c>
      <c r="AD12" t="s">
        <v>85</v>
      </c>
      <c r="AE12" t="s">
        <v>86</v>
      </c>
      <c r="AF12" t="s">
        <v>87</v>
      </c>
      <c r="AL12" t="s">
        <v>85</v>
      </c>
      <c r="AM12" t="s">
        <v>86</v>
      </c>
      <c r="AN12" t="s">
        <v>87</v>
      </c>
      <c r="AT12" t="s">
        <v>85</v>
      </c>
      <c r="AU12" t="s">
        <v>86</v>
      </c>
      <c r="AV12" t="s">
        <v>87</v>
      </c>
      <c r="BC12" t="s">
        <v>85</v>
      </c>
      <c r="BD12" t="s">
        <v>86</v>
      </c>
      <c r="BE12" t="s">
        <v>87</v>
      </c>
      <c r="BM12" t="s">
        <v>85</v>
      </c>
      <c r="BN12" t="s">
        <v>86</v>
      </c>
      <c r="BO12" t="s">
        <v>87</v>
      </c>
    </row>
    <row r="13" spans="2:67" x14ac:dyDescent="0.2">
      <c r="C13" s="10"/>
      <c r="D13" s="10"/>
      <c r="E13" s="10"/>
      <c r="F13" s="10"/>
      <c r="G13" s="10"/>
      <c r="H13" s="10"/>
      <c r="I13" s="10"/>
      <c r="J13" s="10"/>
      <c r="M13" s="10"/>
      <c r="N13" s="10"/>
      <c r="O13" s="10"/>
      <c r="P13" s="9"/>
      <c r="Q13" s="9"/>
      <c r="R13" s="9"/>
      <c r="S13" s="9"/>
      <c r="T13" s="9"/>
      <c r="Y13" t="s">
        <v>99</v>
      </c>
      <c r="Z13" t="s">
        <v>91</v>
      </c>
      <c r="AA13" t="s">
        <v>74</v>
      </c>
      <c r="AB13">
        <v>30</v>
      </c>
      <c r="AC13" t="s">
        <v>75</v>
      </c>
      <c r="AD13">
        <v>51.764705882352949</v>
      </c>
      <c r="AE13">
        <v>48.235294117647058</v>
      </c>
      <c r="AF13">
        <v>2</v>
      </c>
      <c r="AG13" t="s">
        <v>95</v>
      </c>
      <c r="AH13" t="s">
        <v>91</v>
      </c>
      <c r="AI13" t="s">
        <v>74</v>
      </c>
      <c r="AJ13">
        <v>30</v>
      </c>
      <c r="AK13" t="s">
        <v>75</v>
      </c>
      <c r="AL13">
        <v>35.683244809270889</v>
      </c>
      <c r="AM13">
        <v>64.316755190729097</v>
      </c>
      <c r="AN13">
        <v>2</v>
      </c>
      <c r="AO13" t="s">
        <v>93</v>
      </c>
      <c r="AP13" t="s">
        <v>91</v>
      </c>
      <c r="AQ13" t="s">
        <v>74</v>
      </c>
      <c r="AR13">
        <v>30</v>
      </c>
      <c r="AS13" t="s">
        <v>75</v>
      </c>
      <c r="AT13">
        <v>27.19902715849209</v>
      </c>
      <c r="AU13">
        <v>72.800972841507914</v>
      </c>
      <c r="AV13">
        <v>2</v>
      </c>
      <c r="BC13" t="s">
        <v>85</v>
      </c>
      <c r="BD13" t="s">
        <v>86</v>
      </c>
      <c r="BE13" t="s">
        <v>87</v>
      </c>
      <c r="BF13" s="3"/>
      <c r="BG13" t="s">
        <v>65</v>
      </c>
      <c r="BH13" t="s">
        <v>90</v>
      </c>
      <c r="BJ13" t="s">
        <v>74</v>
      </c>
      <c r="BK13">
        <v>30</v>
      </c>
      <c r="BL13" t="s">
        <v>75</v>
      </c>
      <c r="BM13" s="6">
        <v>29.443447037701969</v>
      </c>
      <c r="BN13" s="6">
        <v>70.556552962298042</v>
      </c>
      <c r="BO13" s="3">
        <v>2</v>
      </c>
    </row>
    <row r="14" spans="2:67" x14ac:dyDescent="0.2">
      <c r="B14" t="s">
        <v>107</v>
      </c>
      <c r="C14" s="10"/>
      <c r="D14" s="10"/>
      <c r="E14" s="10"/>
      <c r="F14" s="10"/>
      <c r="G14" s="10"/>
      <c r="H14" s="10"/>
      <c r="I14" s="10"/>
      <c r="J14" s="10"/>
      <c r="L14" t="s">
        <v>107</v>
      </c>
      <c r="M14" s="10"/>
      <c r="N14" s="10"/>
      <c r="O14" s="10"/>
      <c r="P14" s="9"/>
      <c r="Q14" s="9"/>
      <c r="R14" s="9"/>
      <c r="S14" s="9"/>
      <c r="T14" s="9"/>
      <c r="Z14" s="2">
        <v>42517</v>
      </c>
      <c r="AA14" s="1" t="s">
        <v>96</v>
      </c>
      <c r="AB14">
        <v>20</v>
      </c>
      <c r="AC14" t="s">
        <v>77</v>
      </c>
      <c r="AD14">
        <v>55.854341736694678</v>
      </c>
      <c r="AE14">
        <v>44.145658263305322</v>
      </c>
      <c r="AF14">
        <v>1</v>
      </c>
      <c r="AH14" s="2">
        <v>42655</v>
      </c>
      <c r="AI14" s="1" t="s">
        <v>76</v>
      </c>
      <c r="AJ14">
        <v>20</v>
      </c>
      <c r="AK14" t="s">
        <v>77</v>
      </c>
      <c r="AL14">
        <v>47.440849830999518</v>
      </c>
      <c r="AM14">
        <v>52.559150169000482</v>
      </c>
      <c r="AN14">
        <v>1</v>
      </c>
      <c r="AP14" s="2">
        <v>42677</v>
      </c>
      <c r="AQ14" s="1" t="s">
        <v>76</v>
      </c>
      <c r="AR14">
        <v>20</v>
      </c>
      <c r="AS14" t="s">
        <v>77</v>
      </c>
      <c r="AT14">
        <v>34.779083907580059</v>
      </c>
      <c r="AU14">
        <v>65.220916092419941</v>
      </c>
      <c r="AV14">
        <v>1</v>
      </c>
      <c r="AX14" t="s">
        <v>92</v>
      </c>
      <c r="AY14" t="s">
        <v>91</v>
      </c>
      <c r="AZ14" t="s">
        <v>74</v>
      </c>
      <c r="BA14">
        <v>30</v>
      </c>
      <c r="BB14" t="s">
        <v>75</v>
      </c>
      <c r="BC14">
        <v>25.750834260289206</v>
      </c>
      <c r="BD14">
        <v>74.249165739710804</v>
      </c>
      <c r="BE14">
        <v>2</v>
      </c>
      <c r="BF14" s="3"/>
      <c r="BH14" s="2">
        <v>42719</v>
      </c>
      <c r="BJ14" s="1" t="s">
        <v>76</v>
      </c>
      <c r="BK14">
        <v>20</v>
      </c>
      <c r="BL14" t="s">
        <v>77</v>
      </c>
      <c r="BM14" s="6">
        <v>37.365350089766608</v>
      </c>
      <c r="BN14" s="6">
        <v>62.634649910233399</v>
      </c>
      <c r="BO14" s="3">
        <v>1</v>
      </c>
    </row>
    <row r="15" spans="2:67" x14ac:dyDescent="0.2">
      <c r="B15" t="s">
        <v>105</v>
      </c>
      <c r="C15" s="10" t="s">
        <v>51</v>
      </c>
      <c r="D15" s="10"/>
      <c r="E15" s="10"/>
      <c r="F15" s="10"/>
      <c r="G15" s="10"/>
      <c r="H15" s="10"/>
      <c r="I15" s="10"/>
      <c r="J15" s="10"/>
      <c r="L15" t="s">
        <v>109</v>
      </c>
      <c r="M15" s="10"/>
      <c r="N15" s="10"/>
      <c r="O15" s="10"/>
      <c r="P15" s="9"/>
      <c r="Q15" s="9"/>
      <c r="R15" s="9"/>
      <c r="S15" s="9"/>
      <c r="T15" s="9"/>
      <c r="AB15">
        <v>15</v>
      </c>
      <c r="AC15" t="s">
        <v>78</v>
      </c>
      <c r="AD15">
        <v>71.260504201680675</v>
      </c>
      <c r="AE15">
        <v>28.739495798319332</v>
      </c>
      <c r="AF15">
        <v>0.5</v>
      </c>
      <c r="AJ15">
        <v>15</v>
      </c>
      <c r="AK15" t="s">
        <v>78</v>
      </c>
      <c r="AL15">
        <v>61.419604056011593</v>
      </c>
      <c r="AM15">
        <v>38.580395943988407</v>
      </c>
      <c r="AN15">
        <v>0.5</v>
      </c>
      <c r="AR15">
        <v>15</v>
      </c>
      <c r="AS15" t="s">
        <v>78</v>
      </c>
      <c r="AT15">
        <v>50.182407782732064</v>
      </c>
      <c r="AU15">
        <v>49.817592217267936</v>
      </c>
      <c r="AV15">
        <v>0.5</v>
      </c>
      <c r="AY15" s="2">
        <v>42713</v>
      </c>
      <c r="AZ15" s="1" t="s">
        <v>76</v>
      </c>
      <c r="BA15">
        <v>20</v>
      </c>
      <c r="BB15" t="s">
        <v>77</v>
      </c>
      <c r="BC15">
        <v>44.132369299221352</v>
      </c>
      <c r="BD15">
        <v>55.867630700778633</v>
      </c>
      <c r="BE15">
        <v>1</v>
      </c>
      <c r="BF15" s="3"/>
      <c r="BK15">
        <v>15</v>
      </c>
      <c r="BL15" t="s">
        <v>78</v>
      </c>
      <c r="BM15" s="6">
        <v>52.109515260323171</v>
      </c>
      <c r="BN15" s="6">
        <v>47.890484739676836</v>
      </c>
      <c r="BO15" s="3">
        <v>0.5</v>
      </c>
    </row>
    <row r="16" spans="2:67" x14ac:dyDescent="0.2">
      <c r="B16" s="1" t="s">
        <v>24</v>
      </c>
      <c r="C16" s="9">
        <f>G39</f>
        <v>46.552501126633608</v>
      </c>
      <c r="D16" s="9">
        <f>O39</f>
        <v>52.007648183556398</v>
      </c>
      <c r="E16" s="10"/>
      <c r="F16" s="10"/>
      <c r="G16" s="10"/>
      <c r="H16" s="10"/>
      <c r="I16" s="10"/>
      <c r="J16" s="10"/>
      <c r="L16" s="1" t="s">
        <v>24</v>
      </c>
      <c r="M16" s="10"/>
      <c r="N16" s="10"/>
      <c r="O16" s="10"/>
      <c r="P16" s="9">
        <f>AE17</f>
        <v>43.361344537815135</v>
      </c>
      <c r="Q16" s="9"/>
      <c r="R16" s="9"/>
      <c r="S16" s="9"/>
      <c r="T16" s="9"/>
      <c r="AB16">
        <v>12.5</v>
      </c>
      <c r="AC16" s="3" t="s">
        <v>79</v>
      </c>
      <c r="AD16">
        <v>81.568627450980387</v>
      </c>
      <c r="AE16">
        <v>18.431372549019613</v>
      </c>
      <c r="AF16">
        <v>0.25</v>
      </c>
      <c r="AJ16">
        <v>12.5</v>
      </c>
      <c r="AK16" s="3" t="s">
        <v>79</v>
      </c>
      <c r="AL16">
        <v>73.346209560598737</v>
      </c>
      <c r="AM16">
        <v>26.653790439401252</v>
      </c>
      <c r="AN16">
        <v>0.25</v>
      </c>
      <c r="AR16">
        <v>12.5</v>
      </c>
      <c r="AS16" s="3" t="s">
        <v>79</v>
      </c>
      <c r="AT16">
        <v>52.371301175516813</v>
      </c>
      <c r="AU16">
        <v>47.628698824483187</v>
      </c>
      <c r="AV16">
        <v>0.25</v>
      </c>
      <c r="BA16">
        <v>15</v>
      </c>
      <c r="BB16" t="s">
        <v>78</v>
      </c>
      <c r="BC16">
        <v>54.949944382647374</v>
      </c>
      <c r="BD16">
        <v>45.050055617352626</v>
      </c>
      <c r="BE16">
        <v>0.5</v>
      </c>
      <c r="BF16" s="3"/>
      <c r="BK16">
        <v>12.5</v>
      </c>
      <c r="BL16" s="3" t="s">
        <v>79</v>
      </c>
      <c r="BM16" s="6">
        <v>59.560143626570905</v>
      </c>
      <c r="BN16" s="6">
        <v>40.439856373429087</v>
      </c>
      <c r="BO16" s="3">
        <v>0.25</v>
      </c>
    </row>
    <row r="17" spans="2:67" x14ac:dyDescent="0.2">
      <c r="B17" s="1" t="s">
        <v>25</v>
      </c>
      <c r="C17" s="9">
        <f>G40</f>
        <v>42.902208201892748</v>
      </c>
      <c r="D17" s="9">
        <f>O40</f>
        <v>40.089228808158069</v>
      </c>
      <c r="E17" s="10"/>
      <c r="F17" s="10"/>
      <c r="G17" s="9"/>
      <c r="H17" s="9"/>
      <c r="I17" s="9"/>
      <c r="J17" s="9"/>
      <c r="L17" s="1" t="s">
        <v>25</v>
      </c>
      <c r="M17" s="10"/>
      <c r="N17" s="10"/>
      <c r="O17" s="10"/>
      <c r="P17" s="9">
        <f>AE18</f>
        <v>43.137254901960794</v>
      </c>
      <c r="Q17" s="9"/>
      <c r="R17" s="9"/>
      <c r="S17" s="9"/>
      <c r="T17" s="9"/>
      <c r="AA17" t="s">
        <v>74</v>
      </c>
      <c r="AB17">
        <v>30</v>
      </c>
      <c r="AC17" t="s">
        <v>80</v>
      </c>
      <c r="AD17">
        <v>56.638655462184865</v>
      </c>
      <c r="AE17">
        <v>43.361344537815135</v>
      </c>
      <c r="AF17">
        <v>2</v>
      </c>
      <c r="AI17" t="s">
        <v>74</v>
      </c>
      <c r="AJ17">
        <v>30</v>
      </c>
      <c r="AK17" t="s">
        <v>80</v>
      </c>
      <c r="AL17">
        <v>22.646064703042011</v>
      </c>
      <c r="AM17">
        <v>77.353935296957985</v>
      </c>
      <c r="AN17">
        <v>2</v>
      </c>
      <c r="AQ17" t="s">
        <v>74</v>
      </c>
      <c r="AR17">
        <v>30</v>
      </c>
      <c r="AS17" t="s">
        <v>80</v>
      </c>
      <c r="AT17">
        <v>29.793271179570329</v>
      </c>
      <c r="AU17">
        <v>70.206728820429674</v>
      </c>
      <c r="AV17">
        <v>2</v>
      </c>
      <c r="BA17">
        <v>12.5</v>
      </c>
      <c r="BB17" s="3" t="s">
        <v>79</v>
      </c>
      <c r="BC17">
        <v>59.399332591768626</v>
      </c>
      <c r="BD17">
        <v>40.600667408231374</v>
      </c>
      <c r="BE17">
        <v>0.25</v>
      </c>
      <c r="BF17" s="3"/>
      <c r="BJ17" t="s">
        <v>74</v>
      </c>
      <c r="BK17">
        <v>30</v>
      </c>
      <c r="BL17" t="s">
        <v>80</v>
      </c>
      <c r="BM17" s="6">
        <v>30.655296229802513</v>
      </c>
      <c r="BN17" s="6">
        <v>69.344703770197498</v>
      </c>
      <c r="BO17" s="3">
        <v>2</v>
      </c>
    </row>
    <row r="18" spans="2:67" x14ac:dyDescent="0.2">
      <c r="B18" s="1" t="s">
        <v>26</v>
      </c>
      <c r="C18" s="9">
        <f>G41</f>
        <v>35.511491662911226</v>
      </c>
      <c r="D18" s="9">
        <f>O41</f>
        <v>32.249840662842587</v>
      </c>
      <c r="E18" s="10"/>
      <c r="F18" s="10"/>
      <c r="G18" s="10"/>
      <c r="H18" s="10"/>
      <c r="I18" s="10"/>
      <c r="J18" s="10"/>
      <c r="L18" s="1" t="s">
        <v>26</v>
      </c>
      <c r="M18" s="10"/>
      <c r="N18" s="10"/>
      <c r="O18" s="10"/>
      <c r="P18" s="9">
        <f>AE19</f>
        <v>29.019607843137262</v>
      </c>
      <c r="Q18" s="9"/>
      <c r="R18" s="9"/>
      <c r="S18" s="9"/>
      <c r="T18" s="9"/>
      <c r="AA18" s="1" t="s">
        <v>97</v>
      </c>
      <c r="AB18">
        <v>20</v>
      </c>
      <c r="AC18" t="s">
        <v>82</v>
      </c>
      <c r="AD18">
        <v>56.862745098039206</v>
      </c>
      <c r="AE18">
        <v>43.137254901960794</v>
      </c>
      <c r="AF18">
        <v>1</v>
      </c>
      <c r="AI18" s="1" t="s">
        <v>81</v>
      </c>
      <c r="AJ18">
        <v>20</v>
      </c>
      <c r="AK18" t="s">
        <v>82</v>
      </c>
      <c r="AL18">
        <v>33.172380492515686</v>
      </c>
      <c r="AM18">
        <v>66.827619507484314</v>
      </c>
      <c r="AN18">
        <v>1</v>
      </c>
      <c r="AQ18" s="1" t="s">
        <v>81</v>
      </c>
      <c r="AR18">
        <v>20</v>
      </c>
      <c r="AS18" t="s">
        <v>82</v>
      </c>
      <c r="AT18">
        <v>35.387109850020266</v>
      </c>
      <c r="AU18">
        <v>64.612890149979734</v>
      </c>
      <c r="AV18">
        <v>1</v>
      </c>
      <c r="AZ18" t="s">
        <v>74</v>
      </c>
      <c r="BA18">
        <v>30</v>
      </c>
      <c r="BB18" t="s">
        <v>80</v>
      </c>
      <c r="BC18">
        <v>39.098998887652947</v>
      </c>
      <c r="BD18">
        <v>60.901001112347053</v>
      </c>
      <c r="BE18">
        <v>2</v>
      </c>
      <c r="BF18" s="3"/>
      <c r="BJ18" s="1" t="s">
        <v>81</v>
      </c>
      <c r="BK18">
        <v>20</v>
      </c>
      <c r="BL18" t="s">
        <v>82</v>
      </c>
      <c r="BM18" s="6">
        <v>39.22800718132855</v>
      </c>
      <c r="BN18" s="6">
        <v>60.77199281867145</v>
      </c>
      <c r="BO18" s="3">
        <v>1</v>
      </c>
    </row>
    <row r="19" spans="2:67" x14ac:dyDescent="0.2">
      <c r="B19" s="1" t="s">
        <v>27</v>
      </c>
      <c r="C19" s="9">
        <f>G42</f>
        <v>33.168093735917076</v>
      </c>
      <c r="D19" s="9">
        <f>O42</f>
        <v>16.571064372211609</v>
      </c>
      <c r="E19" s="10"/>
      <c r="F19" s="10"/>
      <c r="G19" s="10"/>
      <c r="H19" s="10"/>
      <c r="I19" s="10"/>
      <c r="J19" s="10"/>
      <c r="L19" s="1" t="s">
        <v>27</v>
      </c>
      <c r="M19" s="10"/>
      <c r="N19" s="10"/>
      <c r="O19" s="10"/>
      <c r="P19" s="9">
        <f>AE20</f>
        <v>19.047619047619051</v>
      </c>
      <c r="Q19" s="9"/>
      <c r="R19" s="9"/>
      <c r="S19" s="9"/>
      <c r="T19" s="9"/>
      <c r="AB19">
        <v>15</v>
      </c>
      <c r="AC19" t="s">
        <v>83</v>
      </c>
      <c r="AD19">
        <v>70.980392156862735</v>
      </c>
      <c r="AE19">
        <v>29.019607843137262</v>
      </c>
      <c r="AF19">
        <v>0.5</v>
      </c>
      <c r="AJ19">
        <v>15</v>
      </c>
      <c r="AK19" t="s">
        <v>83</v>
      </c>
      <c r="AL19">
        <v>51.424432641236116</v>
      </c>
      <c r="AM19">
        <v>48.575567358763884</v>
      </c>
      <c r="AN19">
        <v>0.5</v>
      </c>
      <c r="AR19">
        <v>15</v>
      </c>
      <c r="AS19" t="s">
        <v>83</v>
      </c>
      <c r="AT19">
        <v>46.209971625456021</v>
      </c>
      <c r="AU19">
        <v>53.790028374543986</v>
      </c>
      <c r="AV19">
        <v>0.5</v>
      </c>
      <c r="AZ19" s="1" t="s">
        <v>81</v>
      </c>
      <c r="BA19">
        <v>20</v>
      </c>
      <c r="BB19" t="s">
        <v>82</v>
      </c>
      <c r="BC19">
        <v>43.103448275862064</v>
      </c>
      <c r="BD19">
        <v>56.896551724137943</v>
      </c>
      <c r="BE19">
        <v>1</v>
      </c>
      <c r="BF19" s="3"/>
      <c r="BK19">
        <v>15</v>
      </c>
      <c r="BL19" t="s">
        <v>83</v>
      </c>
      <c r="BM19" s="6">
        <v>50</v>
      </c>
      <c r="BN19" s="6">
        <v>50</v>
      </c>
      <c r="BO19" s="3">
        <v>0.5</v>
      </c>
    </row>
    <row r="20" spans="2:67" x14ac:dyDescent="0.2">
      <c r="C20" s="10"/>
      <c r="D20" s="10"/>
      <c r="E20" s="10"/>
      <c r="F20" s="10"/>
      <c r="G20" s="10"/>
      <c r="H20" s="10"/>
      <c r="I20" s="10"/>
      <c r="J20" s="10"/>
      <c r="M20" s="10"/>
      <c r="N20" s="10"/>
      <c r="O20" s="10"/>
      <c r="P20" s="9"/>
      <c r="Q20" s="9"/>
      <c r="R20" s="9"/>
      <c r="S20" s="9"/>
      <c r="T20" s="9"/>
      <c r="AB20">
        <v>12.5</v>
      </c>
      <c r="AC20" s="3" t="s">
        <v>84</v>
      </c>
      <c r="AD20">
        <v>80.952380952380949</v>
      </c>
      <c r="AE20">
        <v>19.047619047619051</v>
      </c>
      <c r="AF20">
        <v>0.25</v>
      </c>
      <c r="AJ20">
        <v>12.5</v>
      </c>
      <c r="AK20" s="3" t="s">
        <v>84</v>
      </c>
      <c r="AL20">
        <v>69.531627233220675</v>
      </c>
      <c r="AM20">
        <v>30.468372766779332</v>
      </c>
      <c r="AN20">
        <v>0.25</v>
      </c>
      <c r="AR20">
        <v>12.5</v>
      </c>
      <c r="AS20" s="3" t="s">
        <v>84</v>
      </c>
      <c r="AT20">
        <v>64.045399270368861</v>
      </c>
      <c r="AU20">
        <v>35.954600729631139</v>
      </c>
      <c r="AV20">
        <v>0.25</v>
      </c>
      <c r="BA20">
        <v>15</v>
      </c>
      <c r="BB20" t="s">
        <v>83</v>
      </c>
      <c r="BC20">
        <v>56.22914349276973</v>
      </c>
      <c r="BD20">
        <v>43.770856507230263</v>
      </c>
      <c r="BE20">
        <v>0.5</v>
      </c>
      <c r="BF20" s="3"/>
      <c r="BK20">
        <v>12.5</v>
      </c>
      <c r="BL20" s="3" t="s">
        <v>84</v>
      </c>
      <c r="BM20" s="6">
        <v>62.836624775583481</v>
      </c>
      <c r="BN20" s="6">
        <v>37.163375224416519</v>
      </c>
      <c r="BO20" s="3">
        <v>0.25</v>
      </c>
    </row>
    <row r="21" spans="2:67" x14ac:dyDescent="0.2">
      <c r="B21" t="s">
        <v>108</v>
      </c>
      <c r="C21" s="10"/>
      <c r="D21" s="10"/>
      <c r="E21" s="10"/>
      <c r="F21" s="10"/>
      <c r="G21" s="10"/>
      <c r="H21" s="10"/>
      <c r="I21" s="10"/>
      <c r="J21" s="10"/>
      <c r="L21" t="s">
        <v>108</v>
      </c>
      <c r="M21" s="10"/>
      <c r="N21" s="10"/>
      <c r="O21" s="10"/>
      <c r="P21" s="9"/>
      <c r="Q21" s="9"/>
      <c r="R21" s="9"/>
      <c r="S21" s="9"/>
      <c r="T21" s="9"/>
      <c r="AA21" t="s">
        <v>74</v>
      </c>
      <c r="AB21">
        <v>30</v>
      </c>
      <c r="AC21" t="s">
        <v>80</v>
      </c>
      <c r="AD21">
        <v>64.425770308123248</v>
      </c>
      <c r="AE21">
        <v>35.574229691876745</v>
      </c>
      <c r="AF21">
        <v>2</v>
      </c>
      <c r="BA21">
        <v>12.5</v>
      </c>
      <c r="BB21" s="3" t="s">
        <v>84</v>
      </c>
      <c r="BC21">
        <v>56.451612903225815</v>
      </c>
      <c r="BD21">
        <v>43.548387096774192</v>
      </c>
      <c r="BE21">
        <v>0.25</v>
      </c>
    </row>
    <row r="22" spans="2:67" x14ac:dyDescent="0.2">
      <c r="B22" t="s">
        <v>105</v>
      </c>
      <c r="C22" s="10" t="s">
        <v>51</v>
      </c>
      <c r="D22" s="10"/>
      <c r="E22" s="10"/>
      <c r="F22" s="10"/>
      <c r="G22" s="10"/>
      <c r="H22" s="10"/>
      <c r="I22" s="10"/>
      <c r="J22" s="10"/>
      <c r="L22" t="s">
        <v>109</v>
      </c>
      <c r="M22" s="10"/>
      <c r="N22" s="10"/>
      <c r="O22" s="10"/>
      <c r="P22" s="9"/>
      <c r="Q22" s="9"/>
      <c r="R22" s="9"/>
      <c r="S22" s="9"/>
      <c r="T22" s="9"/>
      <c r="AA22" s="1" t="s">
        <v>98</v>
      </c>
      <c r="AB22">
        <v>20</v>
      </c>
      <c r="AC22" t="s">
        <v>82</v>
      </c>
      <c r="AD22">
        <v>63.949579831932766</v>
      </c>
      <c r="AE22">
        <v>36.050420168067234</v>
      </c>
      <c r="AF22">
        <v>1</v>
      </c>
      <c r="AI22" t="s">
        <v>74</v>
      </c>
      <c r="AJ22">
        <v>30</v>
      </c>
      <c r="AK22" t="s">
        <v>75</v>
      </c>
      <c r="AL22">
        <v>101.73829068083052</v>
      </c>
      <c r="AM22">
        <v>-1.7382906808305207</v>
      </c>
      <c r="AN22">
        <v>2</v>
      </c>
      <c r="AQ22" t="s">
        <v>74</v>
      </c>
      <c r="AR22">
        <v>30</v>
      </c>
      <c r="AS22" t="s">
        <v>75</v>
      </c>
      <c r="AT22">
        <v>51.884880421564652</v>
      </c>
      <c r="AU22">
        <v>48.115119578435348</v>
      </c>
      <c r="AV22">
        <v>2</v>
      </c>
      <c r="BJ22" t="s">
        <v>74</v>
      </c>
      <c r="BK22">
        <v>30</v>
      </c>
      <c r="BL22" t="s">
        <v>75</v>
      </c>
      <c r="BM22">
        <v>95.870736086175938</v>
      </c>
      <c r="BN22">
        <v>4.1292639138240519</v>
      </c>
      <c r="BO22">
        <v>2</v>
      </c>
    </row>
    <row r="23" spans="2:67" x14ac:dyDescent="0.2">
      <c r="B23" s="1" t="s">
        <v>24</v>
      </c>
      <c r="C23" s="9">
        <f>G43</f>
        <v>39.702568724650746</v>
      </c>
      <c r="D23" s="9">
        <f>O43</f>
        <v>51.81644359464628</v>
      </c>
      <c r="E23" s="10"/>
      <c r="F23" s="10"/>
      <c r="G23" s="9">
        <f>AM38</f>
        <v>64.038319823139261</v>
      </c>
      <c r="H23" s="9">
        <f>AU38</f>
        <v>58.838278311742577</v>
      </c>
      <c r="I23" s="9">
        <f>BD38</f>
        <v>54.356659142212195</v>
      </c>
      <c r="J23" s="9">
        <f>BN38</f>
        <v>54.282536151279196</v>
      </c>
      <c r="L23" s="1" t="s">
        <v>24</v>
      </c>
      <c r="M23" s="10"/>
      <c r="N23" s="10"/>
      <c r="O23" s="10"/>
      <c r="P23" s="9">
        <f>AE21</f>
        <v>35.574229691876745</v>
      </c>
      <c r="Q23" s="9">
        <f>AM17</f>
        <v>77.353935296957985</v>
      </c>
      <c r="R23" s="9">
        <f>AU17</f>
        <v>70.206728820429674</v>
      </c>
      <c r="S23" s="9">
        <f>BD18</f>
        <v>60.901001112347053</v>
      </c>
      <c r="T23" s="9">
        <f>BN17</f>
        <v>69.344703770197498</v>
      </c>
      <c r="AB23">
        <v>15</v>
      </c>
      <c r="AC23" t="s">
        <v>83</v>
      </c>
      <c r="AD23">
        <v>77.086834733893568</v>
      </c>
      <c r="AE23">
        <v>22.913165266106443</v>
      </c>
      <c r="AF23">
        <v>0.5</v>
      </c>
      <c r="AI23" s="1" t="s">
        <v>88</v>
      </c>
      <c r="AJ23">
        <v>12.5</v>
      </c>
      <c r="AK23" s="3" t="s">
        <v>79</v>
      </c>
      <c r="AL23">
        <v>126.79864799613712</v>
      </c>
      <c r="AM23">
        <v>-26.79864799613711</v>
      </c>
      <c r="AN23">
        <v>0.25</v>
      </c>
      <c r="AQ23" s="1" t="s">
        <v>88</v>
      </c>
      <c r="AR23">
        <v>12.5</v>
      </c>
      <c r="AS23" s="3" t="s">
        <v>79</v>
      </c>
      <c r="AT23">
        <v>79.610863396838269</v>
      </c>
      <c r="AU23">
        <v>20.389136603161734</v>
      </c>
      <c r="AV23">
        <v>0.25</v>
      </c>
      <c r="AZ23" t="s">
        <v>74</v>
      </c>
      <c r="BA23">
        <v>30</v>
      </c>
      <c r="BB23" t="s">
        <v>75</v>
      </c>
      <c r="BC23">
        <v>72.58064516129032</v>
      </c>
      <c r="BD23">
        <v>27.41935483870968</v>
      </c>
      <c r="BE23">
        <v>2</v>
      </c>
      <c r="BJ23" s="1" t="s">
        <v>88</v>
      </c>
      <c r="BK23">
        <v>12.5</v>
      </c>
      <c r="BL23" s="3" t="s">
        <v>79</v>
      </c>
      <c r="BM23">
        <v>113.1508078994614</v>
      </c>
      <c r="BN23">
        <v>-13.1508078994614</v>
      </c>
      <c r="BO23">
        <v>0.25</v>
      </c>
    </row>
    <row r="24" spans="2:67" x14ac:dyDescent="0.2">
      <c r="B24" s="1" t="s">
        <v>25</v>
      </c>
      <c r="C24" s="9">
        <f>G44</f>
        <v>37.06624605678234</v>
      </c>
      <c r="D24" s="9">
        <f>O44</f>
        <v>48.948374760994263</v>
      </c>
      <c r="E24" s="10"/>
      <c r="F24" s="10"/>
      <c r="G24" s="9">
        <f>AM39</f>
        <v>49.37361827560796</v>
      </c>
      <c r="H24" s="9">
        <f>AU39</f>
        <v>52.026744671959882</v>
      </c>
      <c r="I24" s="9">
        <f>BD39</f>
        <v>49.57110609480813</v>
      </c>
      <c r="J24" s="9">
        <f>BN39</f>
        <v>55.728587319243609</v>
      </c>
      <c r="L24" s="1" t="s">
        <v>25</v>
      </c>
      <c r="M24" s="10"/>
      <c r="N24" s="10"/>
      <c r="O24" s="10"/>
      <c r="P24" s="9">
        <f>AE22</f>
        <v>36.050420168067234</v>
      </c>
      <c r="Q24" s="9">
        <f>AM18</f>
        <v>66.827619507484314</v>
      </c>
      <c r="R24" s="9">
        <f>AU18</f>
        <v>64.612890149979734</v>
      </c>
      <c r="S24" s="9">
        <f>BD19</f>
        <v>56.896551724137943</v>
      </c>
      <c r="T24" s="9">
        <f>BN18</f>
        <v>60.77199281867145</v>
      </c>
      <c r="AB24">
        <v>12.5</v>
      </c>
      <c r="AC24" s="3" t="s">
        <v>84</v>
      </c>
      <c r="AD24">
        <v>80.896358543417364</v>
      </c>
      <c r="AE24">
        <v>19.103641456582636</v>
      </c>
      <c r="AF24">
        <v>0.25</v>
      </c>
      <c r="AI24" t="s">
        <v>74</v>
      </c>
      <c r="AJ24">
        <v>30</v>
      </c>
      <c r="AK24" t="s">
        <v>75</v>
      </c>
      <c r="AL24">
        <v>97.489135683244811</v>
      </c>
      <c r="AM24">
        <v>2.5108643167551921</v>
      </c>
      <c r="AN24">
        <v>2</v>
      </c>
      <c r="AQ24" t="s">
        <v>74</v>
      </c>
      <c r="AR24">
        <v>30</v>
      </c>
      <c r="AS24" t="s">
        <v>75</v>
      </c>
      <c r="AT24">
        <v>51.803810295905961</v>
      </c>
      <c r="AU24">
        <v>48.196189704094039</v>
      </c>
      <c r="AV24">
        <v>2</v>
      </c>
      <c r="AZ24" s="1" t="s">
        <v>88</v>
      </c>
      <c r="BA24">
        <v>12.5</v>
      </c>
      <c r="BB24" s="3" t="s">
        <v>79</v>
      </c>
      <c r="BC24">
        <v>98.275862068965509</v>
      </c>
      <c r="BD24">
        <v>1.7241379310344913</v>
      </c>
      <c r="BE24">
        <v>0.25</v>
      </c>
      <c r="BJ24" t="s">
        <v>74</v>
      </c>
      <c r="BK24">
        <v>30</v>
      </c>
      <c r="BL24" t="s">
        <v>75</v>
      </c>
      <c r="BM24">
        <v>83.034111310592465</v>
      </c>
      <c r="BN24">
        <v>16.965888689407542</v>
      </c>
      <c r="BO24">
        <v>2</v>
      </c>
    </row>
    <row r="25" spans="2:67" x14ac:dyDescent="0.2">
      <c r="B25" s="1" t="s">
        <v>26</v>
      </c>
      <c r="C25" s="9">
        <f>G45</f>
        <v>35.962145110410091</v>
      </c>
      <c r="D25" s="9">
        <f>O45</f>
        <v>44.678138942001276</v>
      </c>
      <c r="E25" s="10"/>
      <c r="F25" s="10"/>
      <c r="G25" s="9">
        <f>AM40</f>
        <v>45.099484156226964</v>
      </c>
      <c r="H25" s="9">
        <f>AU40</f>
        <v>50.982030923526956</v>
      </c>
      <c r="I25" s="9">
        <f>BD40</f>
        <v>50.65462753950338</v>
      </c>
      <c r="J25" s="9">
        <f>BN40</f>
        <v>44.438264738598434</v>
      </c>
      <c r="L25" s="1" t="s">
        <v>26</v>
      </c>
      <c r="M25" s="10"/>
      <c r="N25" s="10"/>
      <c r="O25" s="10"/>
      <c r="P25" s="9">
        <f>AE23</f>
        <v>22.913165266106443</v>
      </c>
      <c r="Q25" s="9">
        <f>AM19</f>
        <v>48.575567358763884</v>
      </c>
      <c r="R25" s="9">
        <f>AU19</f>
        <v>53.790028374543986</v>
      </c>
      <c r="S25" s="9">
        <f>BD20</f>
        <v>43.770856507230263</v>
      </c>
      <c r="T25" s="9">
        <f>BN19</f>
        <v>50</v>
      </c>
      <c r="AI25" s="1" t="s">
        <v>89</v>
      </c>
      <c r="AJ25">
        <v>12.5</v>
      </c>
      <c r="AK25" s="3" t="s">
        <v>79</v>
      </c>
      <c r="AL25">
        <v>126.70207629164653</v>
      </c>
      <c r="AM25">
        <v>-26.702076291646531</v>
      </c>
      <c r="AN25">
        <v>0.25</v>
      </c>
      <c r="AQ25" s="1" t="s">
        <v>89</v>
      </c>
      <c r="AR25">
        <v>12.5</v>
      </c>
      <c r="AS25" s="3" t="s">
        <v>79</v>
      </c>
      <c r="AT25">
        <v>79.164977705715458</v>
      </c>
      <c r="AU25">
        <v>20.835022294284546</v>
      </c>
      <c r="AV25">
        <v>0.25</v>
      </c>
      <c r="AZ25" t="s">
        <v>74</v>
      </c>
      <c r="BA25">
        <v>30</v>
      </c>
      <c r="BB25" t="s">
        <v>75</v>
      </c>
      <c r="BC25">
        <v>66.295884315906562</v>
      </c>
      <c r="BD25">
        <v>33.704115684093438</v>
      </c>
      <c r="BE25">
        <v>2</v>
      </c>
      <c r="BJ25" s="1" t="s">
        <v>89</v>
      </c>
      <c r="BK25">
        <v>12.5</v>
      </c>
      <c r="BL25" s="3" t="s">
        <v>79</v>
      </c>
      <c r="BM25">
        <v>106.68761220825853</v>
      </c>
      <c r="BN25">
        <v>-6.687612208258531</v>
      </c>
      <c r="BO25">
        <v>0.25</v>
      </c>
    </row>
    <row r="26" spans="2:67" x14ac:dyDescent="0.2">
      <c r="B26" s="1" t="s">
        <v>27</v>
      </c>
      <c r="C26" s="9">
        <f>G46</f>
        <v>25.326723749436692</v>
      </c>
      <c r="D26" s="9">
        <f>O46</f>
        <v>27.852135117909498</v>
      </c>
      <c r="E26" s="10"/>
      <c r="F26" s="10"/>
      <c r="G26" s="9">
        <f>AM41</f>
        <v>40.383198231392761</v>
      </c>
      <c r="H26" s="9">
        <f>AU41</f>
        <v>44.421228583368155</v>
      </c>
      <c r="I26" s="9">
        <f>BD41</f>
        <v>42.031602708803604</v>
      </c>
      <c r="J26" s="9">
        <f>BN41</f>
        <v>47.219132369299224</v>
      </c>
      <c r="L26" s="1" t="s">
        <v>27</v>
      </c>
      <c r="M26" s="10"/>
      <c r="N26" s="10"/>
      <c r="O26" s="10"/>
      <c r="P26" s="9">
        <f>AE24</f>
        <v>19.103641456582636</v>
      </c>
      <c r="Q26" s="9">
        <f>AM20</f>
        <v>30.468372766779332</v>
      </c>
      <c r="R26" s="9">
        <f>AU20</f>
        <v>35.954600729631139</v>
      </c>
      <c r="S26" s="9">
        <f>BD21</f>
        <v>43.548387096774192</v>
      </c>
      <c r="T26" s="9">
        <f>BN20</f>
        <v>37.163375224416519</v>
      </c>
      <c r="AA26" t="s">
        <v>74</v>
      </c>
      <c r="AB26">
        <v>30</v>
      </c>
      <c r="AC26" t="s">
        <v>75</v>
      </c>
      <c r="AD26">
        <v>102.40896358543419</v>
      </c>
      <c r="AE26">
        <v>-2.4089635854341802</v>
      </c>
      <c r="AF26">
        <v>2</v>
      </c>
      <c r="AI26" s="1"/>
      <c r="AK26" s="3"/>
      <c r="AQ26" s="1"/>
      <c r="AS26" s="3"/>
      <c r="AZ26" s="1" t="s">
        <v>89</v>
      </c>
      <c r="BA26">
        <v>12.5</v>
      </c>
      <c r="BB26" s="3" t="s">
        <v>79</v>
      </c>
      <c r="BC26">
        <v>106.39599555061177</v>
      </c>
      <c r="BD26">
        <v>-6.3959955506117705</v>
      </c>
      <c r="BE26">
        <v>0.25</v>
      </c>
      <c r="BJ26" s="1"/>
      <c r="BL26" s="3"/>
    </row>
    <row r="27" spans="2:67" x14ac:dyDescent="0.2">
      <c r="AA27" s="1" t="s">
        <v>100</v>
      </c>
      <c r="AB27">
        <v>12.5</v>
      </c>
      <c r="AC27" s="3" t="s">
        <v>79</v>
      </c>
      <c r="AD27">
        <v>104.76190476190477</v>
      </c>
      <c r="AE27">
        <v>-4.7619047619047654</v>
      </c>
      <c r="AF27">
        <v>0.25</v>
      </c>
      <c r="AI27" s="1"/>
      <c r="AK27" s="3"/>
      <c r="AQ27" s="1"/>
      <c r="AS27" s="3"/>
      <c r="AZ27" s="1"/>
      <c r="BB27" s="3"/>
      <c r="BJ27" s="1"/>
      <c r="BL27" s="3"/>
    </row>
    <row r="28" spans="2:67" x14ac:dyDescent="0.2">
      <c r="AA28" t="s">
        <v>74</v>
      </c>
      <c r="AB28">
        <v>30</v>
      </c>
      <c r="AC28" t="s">
        <v>75</v>
      </c>
      <c r="AD28">
        <v>95.798319327731093</v>
      </c>
      <c r="AE28">
        <v>4.2016806722689077</v>
      </c>
      <c r="AF28">
        <v>2</v>
      </c>
      <c r="AI28" s="1"/>
      <c r="AK28" s="3"/>
      <c r="AQ28" s="1"/>
      <c r="AS28" s="3"/>
      <c r="AZ28" s="1"/>
      <c r="BB28" s="3"/>
      <c r="BJ28" s="1"/>
      <c r="BL28" s="3"/>
    </row>
    <row r="29" spans="2:67" x14ac:dyDescent="0.2">
      <c r="AA29" s="1" t="s">
        <v>101</v>
      </c>
      <c r="AB29">
        <v>12.5</v>
      </c>
      <c r="AC29" s="3" t="s">
        <v>79</v>
      </c>
      <c r="AD29">
        <v>110.25210084033614</v>
      </c>
      <c r="AE29">
        <v>-10.25210084033615</v>
      </c>
      <c r="AF29">
        <v>0.25</v>
      </c>
      <c r="AI29" s="1"/>
      <c r="AK29" s="3"/>
      <c r="AQ29" s="1"/>
      <c r="AS29" s="3"/>
      <c r="AZ29" s="1"/>
      <c r="BB29" s="3"/>
      <c r="BJ29" s="1"/>
      <c r="BL29" s="3"/>
    </row>
    <row r="30" spans="2:67" x14ac:dyDescent="0.2">
      <c r="AA30" t="s">
        <v>74</v>
      </c>
      <c r="AB30">
        <v>30</v>
      </c>
      <c r="AC30" t="s">
        <v>75</v>
      </c>
      <c r="AD30">
        <v>90.980392156862735</v>
      </c>
      <c r="AE30">
        <v>9.0196078431372673</v>
      </c>
      <c r="AF30">
        <v>2</v>
      </c>
      <c r="AI30" s="1"/>
      <c r="AK30" s="3"/>
      <c r="AQ30" s="1"/>
      <c r="AS30" s="3"/>
      <c r="AZ30" s="1"/>
      <c r="BB30" s="3"/>
      <c r="BJ30" s="1"/>
      <c r="BL30" s="3"/>
    </row>
    <row r="31" spans="2:67" x14ac:dyDescent="0.2">
      <c r="AA31" s="1" t="s">
        <v>89</v>
      </c>
      <c r="AB31">
        <v>12.5</v>
      </c>
      <c r="AC31" s="3" t="s">
        <v>79</v>
      </c>
      <c r="AD31">
        <v>100.95238095238095</v>
      </c>
      <c r="AE31">
        <v>-0.952380952380946</v>
      </c>
      <c r="AF31">
        <v>0.25</v>
      </c>
      <c r="AI31" s="1"/>
      <c r="AK31" s="3"/>
      <c r="AQ31" s="1"/>
      <c r="AS31" s="3"/>
      <c r="AZ31" s="1"/>
      <c r="BB31" s="3"/>
      <c r="BJ31" s="1"/>
      <c r="BL31" s="3"/>
    </row>
    <row r="32" spans="2:67" x14ac:dyDescent="0.2">
      <c r="AI32" s="1"/>
      <c r="AK32" s="3"/>
      <c r="AQ32" s="1"/>
      <c r="AS32" s="3"/>
      <c r="AZ32" s="1"/>
      <c r="BB32" s="3"/>
      <c r="BJ32" s="1"/>
      <c r="BL32" s="3"/>
    </row>
    <row r="33" spans="1:67" x14ac:dyDescent="0.2">
      <c r="AL33" t="s">
        <v>85</v>
      </c>
      <c r="AM33" t="s">
        <v>86</v>
      </c>
      <c r="AN33" t="s">
        <v>87</v>
      </c>
      <c r="AT33" t="s">
        <v>85</v>
      </c>
      <c r="AU33" t="s">
        <v>86</v>
      </c>
      <c r="AV33" t="s">
        <v>87</v>
      </c>
      <c r="BC33" t="s">
        <v>85</v>
      </c>
      <c r="BD33" t="s">
        <v>86</v>
      </c>
      <c r="BE33" t="s">
        <v>87</v>
      </c>
      <c r="BM33" t="s">
        <v>85</v>
      </c>
      <c r="BN33" t="s">
        <v>86</v>
      </c>
      <c r="BO33" t="s">
        <v>87</v>
      </c>
    </row>
    <row r="34" spans="1:67" x14ac:dyDescent="0.2">
      <c r="F34" t="s">
        <v>85</v>
      </c>
      <c r="G34" t="s">
        <v>86</v>
      </c>
      <c r="H34" t="s">
        <v>87</v>
      </c>
      <c r="N34" t="s">
        <v>85</v>
      </c>
      <c r="O34" t="s">
        <v>86</v>
      </c>
      <c r="P34" t="s">
        <v>87</v>
      </c>
      <c r="V34" t="s">
        <v>85</v>
      </c>
      <c r="W34" t="s">
        <v>86</v>
      </c>
      <c r="X34" t="s">
        <v>87</v>
      </c>
      <c r="AG34" t="s">
        <v>95</v>
      </c>
      <c r="AH34" t="s">
        <v>94</v>
      </c>
      <c r="AI34" t="s">
        <v>74</v>
      </c>
      <c r="AJ34">
        <v>30</v>
      </c>
      <c r="AK34" t="s">
        <v>75</v>
      </c>
      <c r="AL34">
        <v>25.49742078113486</v>
      </c>
      <c r="AM34">
        <v>74.502579218865137</v>
      </c>
      <c r="AN34">
        <v>2</v>
      </c>
      <c r="AO34" t="s">
        <v>93</v>
      </c>
      <c r="AP34" t="s">
        <v>94</v>
      </c>
      <c r="AQ34" t="s">
        <v>74</v>
      </c>
      <c r="AR34">
        <v>30</v>
      </c>
      <c r="AS34" t="s">
        <v>75</v>
      </c>
      <c r="AT34">
        <v>27.705808608441295</v>
      </c>
      <c r="AU34">
        <v>72.294191391558698</v>
      </c>
      <c r="AV34">
        <v>2</v>
      </c>
      <c r="AX34" t="s">
        <v>92</v>
      </c>
      <c r="AY34" t="s">
        <v>94</v>
      </c>
      <c r="AZ34" t="s">
        <v>74</v>
      </c>
      <c r="BA34">
        <v>30</v>
      </c>
      <c r="BB34" t="s">
        <v>75</v>
      </c>
      <c r="BC34">
        <v>27.765237020316025</v>
      </c>
      <c r="BD34">
        <v>72.234762979683978</v>
      </c>
      <c r="BE34">
        <v>2</v>
      </c>
      <c r="BG34" t="s">
        <v>65</v>
      </c>
      <c r="BH34" t="s">
        <v>31</v>
      </c>
      <c r="BJ34" t="s">
        <v>74</v>
      </c>
      <c r="BK34">
        <v>30</v>
      </c>
      <c r="BL34" t="s">
        <v>75</v>
      </c>
      <c r="BM34">
        <v>35.706340378197986</v>
      </c>
      <c r="BN34">
        <v>64.293659621802021</v>
      </c>
      <c r="BO34">
        <v>2</v>
      </c>
    </row>
    <row r="35" spans="1:67" x14ac:dyDescent="0.2">
      <c r="A35" t="s">
        <v>104</v>
      </c>
      <c r="B35" t="s">
        <v>94</v>
      </c>
      <c r="C35" t="s">
        <v>74</v>
      </c>
      <c r="D35">
        <v>30</v>
      </c>
      <c r="E35" t="s">
        <v>75</v>
      </c>
      <c r="F35">
        <v>54.123479044614683</v>
      </c>
      <c r="G35">
        <v>45.876520955385317</v>
      </c>
      <c r="H35">
        <v>2</v>
      </c>
      <c r="I35" t="s">
        <v>103</v>
      </c>
      <c r="J35" t="s">
        <v>94</v>
      </c>
      <c r="K35" t="s">
        <v>74</v>
      </c>
      <c r="L35">
        <v>30</v>
      </c>
      <c r="M35" t="s">
        <v>75</v>
      </c>
      <c r="N35">
        <v>52.708731676226897</v>
      </c>
      <c r="O35">
        <v>47.29126832377311</v>
      </c>
      <c r="P35">
        <v>2</v>
      </c>
      <c r="Q35" t="s">
        <v>102</v>
      </c>
      <c r="R35" t="s">
        <v>94</v>
      </c>
      <c r="S35" t="s">
        <v>74</v>
      </c>
      <c r="T35">
        <v>30</v>
      </c>
      <c r="U35" t="s">
        <v>75</v>
      </c>
      <c r="V35">
        <v>30.812324929971986</v>
      </c>
      <c r="W35">
        <v>69.187675070028021</v>
      </c>
      <c r="X35">
        <v>2</v>
      </c>
      <c r="AH35" s="2">
        <v>42647</v>
      </c>
      <c r="AI35" s="1" t="s">
        <v>76</v>
      </c>
      <c r="AJ35">
        <v>20</v>
      </c>
      <c r="AK35" t="s">
        <v>77</v>
      </c>
      <c r="AL35">
        <v>38.025055268975684</v>
      </c>
      <c r="AM35">
        <v>61.974944731024316</v>
      </c>
      <c r="AN35">
        <v>1</v>
      </c>
      <c r="AP35" s="2">
        <v>42670</v>
      </c>
      <c r="AQ35" s="1" t="s">
        <v>76</v>
      </c>
      <c r="AR35">
        <v>20</v>
      </c>
      <c r="AS35" t="s">
        <v>77</v>
      </c>
      <c r="AT35">
        <v>34.538236523192644</v>
      </c>
      <c r="AU35">
        <v>65.461763476807349</v>
      </c>
      <c r="AV35">
        <v>1</v>
      </c>
      <c r="AY35" s="2">
        <v>42703</v>
      </c>
      <c r="AZ35" s="1" t="s">
        <v>76</v>
      </c>
      <c r="BA35">
        <v>20</v>
      </c>
      <c r="BB35" t="s">
        <v>77</v>
      </c>
      <c r="BC35">
        <v>30</v>
      </c>
      <c r="BD35">
        <v>70</v>
      </c>
      <c r="BE35">
        <v>1</v>
      </c>
      <c r="BH35" s="2">
        <v>42713</v>
      </c>
      <c r="BJ35" s="1" t="s">
        <v>76</v>
      </c>
      <c r="BK35">
        <v>20</v>
      </c>
      <c r="BL35" t="s">
        <v>77</v>
      </c>
      <c r="BM35">
        <v>39.460511679644043</v>
      </c>
      <c r="BN35">
        <v>60.539488320355957</v>
      </c>
      <c r="BO35">
        <v>1</v>
      </c>
    </row>
    <row r="36" spans="1:67" x14ac:dyDescent="0.2">
      <c r="B36" s="2">
        <v>42453</v>
      </c>
      <c r="C36" s="1" t="s">
        <v>96</v>
      </c>
      <c r="D36">
        <v>20</v>
      </c>
      <c r="E36" t="s">
        <v>77</v>
      </c>
      <c r="F36">
        <v>54.281207751239293</v>
      </c>
      <c r="G36">
        <v>45.718792248760707</v>
      </c>
      <c r="H36">
        <v>1</v>
      </c>
      <c r="J36" s="2">
        <v>42481</v>
      </c>
      <c r="K36" s="1" t="s">
        <v>96</v>
      </c>
      <c r="L36">
        <v>20</v>
      </c>
      <c r="M36" t="s">
        <v>77</v>
      </c>
      <c r="N36">
        <v>58.795411089866157</v>
      </c>
      <c r="O36">
        <v>41.20458891013385</v>
      </c>
      <c r="P36">
        <v>1</v>
      </c>
      <c r="R36" s="2">
        <v>42501</v>
      </c>
      <c r="S36" s="1" t="s">
        <v>96</v>
      </c>
      <c r="T36">
        <v>20</v>
      </c>
      <c r="U36" t="s">
        <v>77</v>
      </c>
      <c r="V36">
        <v>29.096638655462183</v>
      </c>
      <c r="W36">
        <v>70.903361344537814</v>
      </c>
      <c r="X36">
        <v>1</v>
      </c>
      <c r="AJ36">
        <v>15</v>
      </c>
      <c r="AK36" t="s">
        <v>78</v>
      </c>
      <c r="AL36">
        <v>44.80471628592484</v>
      </c>
      <c r="AM36">
        <v>55.19528371407516</v>
      </c>
      <c r="AN36">
        <v>0.5</v>
      </c>
      <c r="AR36">
        <v>15</v>
      </c>
      <c r="AS36" t="s">
        <v>78</v>
      </c>
      <c r="AT36">
        <v>48.558295027162551</v>
      </c>
      <c r="AU36">
        <v>51.441704972837456</v>
      </c>
      <c r="AV36">
        <v>0.5</v>
      </c>
      <c r="BA36">
        <v>15</v>
      </c>
      <c r="BB36" t="s">
        <v>78</v>
      </c>
      <c r="BC36">
        <v>38.645598194130926</v>
      </c>
      <c r="BD36">
        <v>61.354401805869074</v>
      </c>
      <c r="BE36">
        <v>0.5</v>
      </c>
      <c r="BK36">
        <v>15</v>
      </c>
      <c r="BL36" t="s">
        <v>78</v>
      </c>
      <c r="BM36">
        <v>49.555061179087872</v>
      </c>
      <c r="BN36">
        <v>50.444938820912135</v>
      </c>
      <c r="BO36">
        <v>0.5</v>
      </c>
    </row>
    <row r="37" spans="1:67" x14ac:dyDescent="0.2">
      <c r="D37">
        <v>15</v>
      </c>
      <c r="E37" t="s">
        <v>78</v>
      </c>
      <c r="F37">
        <v>59.486255069851282</v>
      </c>
      <c r="G37">
        <v>40.513744930148718</v>
      </c>
      <c r="H37">
        <v>0.5</v>
      </c>
      <c r="L37">
        <v>15</v>
      </c>
      <c r="M37" t="s">
        <v>78</v>
      </c>
      <c r="N37">
        <v>67.431485022307186</v>
      </c>
      <c r="O37">
        <v>32.5685149776928</v>
      </c>
      <c r="P37">
        <v>0.5</v>
      </c>
      <c r="T37">
        <v>15</v>
      </c>
      <c r="U37" t="s">
        <v>78</v>
      </c>
      <c r="V37">
        <v>36.484593837535023</v>
      </c>
      <c r="W37">
        <v>63.515406162464984</v>
      </c>
      <c r="X37">
        <v>0.5</v>
      </c>
      <c r="AJ37">
        <v>12.5</v>
      </c>
      <c r="AK37" s="3" t="s">
        <v>79</v>
      </c>
      <c r="AL37">
        <v>56.521739130434781</v>
      </c>
      <c r="AM37">
        <v>43.478260869565219</v>
      </c>
      <c r="AN37">
        <v>0.25</v>
      </c>
      <c r="AR37">
        <v>12.5</v>
      </c>
      <c r="AS37" s="3" t="s">
        <v>79</v>
      </c>
      <c r="AT37">
        <v>58.8800668616799</v>
      </c>
      <c r="AU37">
        <v>41.1199331383201</v>
      </c>
      <c r="AV37">
        <v>0.25</v>
      </c>
      <c r="BA37">
        <v>12.5</v>
      </c>
      <c r="BB37" s="3" t="s">
        <v>79</v>
      </c>
      <c r="BC37">
        <v>48.126410835214458</v>
      </c>
      <c r="BD37">
        <v>51.873589164785535</v>
      </c>
      <c r="BE37">
        <v>0.25</v>
      </c>
      <c r="BK37">
        <v>12.5</v>
      </c>
      <c r="BL37" s="3" t="s">
        <v>79</v>
      </c>
      <c r="BM37">
        <v>65.127919911012242</v>
      </c>
      <c r="BN37">
        <v>34.872080088987758</v>
      </c>
      <c r="BO37">
        <v>0.25</v>
      </c>
    </row>
    <row r="38" spans="1:67" x14ac:dyDescent="0.2">
      <c r="D38">
        <v>12.5</v>
      </c>
      <c r="E38" s="3" t="s">
        <v>79</v>
      </c>
      <c r="F38">
        <v>69.310500225326734</v>
      </c>
      <c r="G38">
        <v>30.689499774673269</v>
      </c>
      <c r="H38">
        <v>0.25</v>
      </c>
      <c r="L38">
        <v>12.5</v>
      </c>
      <c r="M38" s="3" t="s">
        <v>79</v>
      </c>
      <c r="N38">
        <v>76.290630975143387</v>
      </c>
      <c r="O38">
        <v>23.709369024856606</v>
      </c>
      <c r="P38">
        <v>0.25</v>
      </c>
      <c r="T38">
        <v>12.5</v>
      </c>
      <c r="U38" s="3" t="s">
        <v>79</v>
      </c>
      <c r="V38">
        <v>44.397759103641462</v>
      </c>
      <c r="W38">
        <v>55.602240896358538</v>
      </c>
      <c r="X38">
        <v>0.25</v>
      </c>
      <c r="AI38" t="s">
        <v>74</v>
      </c>
      <c r="AJ38">
        <v>30</v>
      </c>
      <c r="AK38" t="s">
        <v>80</v>
      </c>
      <c r="AL38">
        <v>35.961680176860732</v>
      </c>
      <c r="AM38">
        <v>64.038319823139261</v>
      </c>
      <c r="AN38">
        <v>2</v>
      </c>
      <c r="AQ38" t="s">
        <v>74</v>
      </c>
      <c r="AR38">
        <v>30</v>
      </c>
      <c r="AS38" t="s">
        <v>80</v>
      </c>
      <c r="AT38">
        <v>41.161721688257416</v>
      </c>
      <c r="AU38">
        <v>58.838278311742577</v>
      </c>
      <c r="AV38">
        <v>2</v>
      </c>
      <c r="AZ38" t="s">
        <v>74</v>
      </c>
      <c r="BA38">
        <v>30</v>
      </c>
      <c r="BB38" t="s">
        <v>80</v>
      </c>
      <c r="BC38">
        <v>45.643340857787805</v>
      </c>
      <c r="BD38">
        <v>54.356659142212195</v>
      </c>
      <c r="BE38">
        <v>2</v>
      </c>
      <c r="BJ38" t="s">
        <v>74</v>
      </c>
      <c r="BK38">
        <v>30</v>
      </c>
      <c r="BL38" t="s">
        <v>80</v>
      </c>
      <c r="BM38">
        <v>45.717463848720804</v>
      </c>
      <c r="BN38">
        <v>54.282536151279196</v>
      </c>
      <c r="BO38">
        <v>2</v>
      </c>
    </row>
    <row r="39" spans="1:67" x14ac:dyDescent="0.2">
      <c r="C39" t="s">
        <v>74</v>
      </c>
      <c r="D39">
        <v>30</v>
      </c>
      <c r="E39" t="s">
        <v>80</v>
      </c>
      <c r="F39">
        <v>53.447498873366385</v>
      </c>
      <c r="G39">
        <v>46.552501126633608</v>
      </c>
      <c r="H39">
        <v>2</v>
      </c>
      <c r="K39" t="s">
        <v>74</v>
      </c>
      <c r="L39">
        <v>30</v>
      </c>
      <c r="M39" t="s">
        <v>80</v>
      </c>
      <c r="N39">
        <v>47.992351816443602</v>
      </c>
      <c r="O39">
        <v>52.007648183556398</v>
      </c>
      <c r="P39">
        <v>2</v>
      </c>
      <c r="S39" t="s">
        <v>74</v>
      </c>
      <c r="T39">
        <v>30</v>
      </c>
      <c r="U39" t="s">
        <v>80</v>
      </c>
      <c r="AI39" s="1" t="s">
        <v>81</v>
      </c>
      <c r="AJ39">
        <v>20</v>
      </c>
      <c r="AK39" t="s">
        <v>82</v>
      </c>
      <c r="AL39">
        <v>50.626381724392033</v>
      </c>
      <c r="AM39">
        <v>49.37361827560796</v>
      </c>
      <c r="AN39">
        <v>1</v>
      </c>
      <c r="AQ39" s="1" t="s">
        <v>81</v>
      </c>
      <c r="AR39">
        <v>20</v>
      </c>
      <c r="AS39" t="s">
        <v>82</v>
      </c>
      <c r="AT39">
        <v>47.973255328040118</v>
      </c>
      <c r="AU39">
        <v>52.026744671959882</v>
      </c>
      <c r="AV39">
        <v>1</v>
      </c>
      <c r="AZ39" s="1" t="s">
        <v>81</v>
      </c>
      <c r="BA39">
        <v>20</v>
      </c>
      <c r="BB39" t="s">
        <v>82</v>
      </c>
      <c r="BC39">
        <v>50.42889390519187</v>
      </c>
      <c r="BD39">
        <v>49.57110609480813</v>
      </c>
      <c r="BE39">
        <v>1</v>
      </c>
      <c r="BJ39" s="1" t="s">
        <v>81</v>
      </c>
      <c r="BK39">
        <v>20</v>
      </c>
      <c r="BL39" t="s">
        <v>82</v>
      </c>
      <c r="BM39">
        <v>44.271412680756391</v>
      </c>
      <c r="BN39">
        <v>55.728587319243609</v>
      </c>
      <c r="BO39">
        <v>1</v>
      </c>
    </row>
    <row r="40" spans="1:67" x14ac:dyDescent="0.2">
      <c r="C40" s="1" t="s">
        <v>97</v>
      </c>
      <c r="D40">
        <v>20</v>
      </c>
      <c r="E40" t="s">
        <v>82</v>
      </c>
      <c r="F40">
        <v>57.097791798107252</v>
      </c>
      <c r="G40">
        <v>42.902208201892748</v>
      </c>
      <c r="H40">
        <v>1</v>
      </c>
      <c r="K40" s="1" t="s">
        <v>97</v>
      </c>
      <c r="L40">
        <v>20</v>
      </c>
      <c r="M40" t="s">
        <v>82</v>
      </c>
      <c r="N40">
        <v>59.910771191841924</v>
      </c>
      <c r="O40">
        <v>40.089228808158069</v>
      </c>
      <c r="P40">
        <v>1</v>
      </c>
      <c r="S40" s="1" t="s">
        <v>97</v>
      </c>
      <c r="T40">
        <v>20</v>
      </c>
      <c r="U40" t="s">
        <v>82</v>
      </c>
      <c r="AJ40">
        <v>15</v>
      </c>
      <c r="AK40" t="s">
        <v>83</v>
      </c>
      <c r="AL40">
        <v>54.900515843773036</v>
      </c>
      <c r="AM40">
        <v>45.099484156226964</v>
      </c>
      <c r="AN40">
        <v>0.5</v>
      </c>
      <c r="AR40">
        <v>15</v>
      </c>
      <c r="AS40" t="s">
        <v>83</v>
      </c>
      <c r="AT40">
        <v>49.017969076473051</v>
      </c>
      <c r="AU40">
        <v>50.982030923526956</v>
      </c>
      <c r="AV40">
        <v>0.5</v>
      </c>
      <c r="BA40">
        <v>15</v>
      </c>
      <c r="BB40" t="s">
        <v>83</v>
      </c>
      <c r="BC40">
        <v>49.345372460496613</v>
      </c>
      <c r="BD40">
        <v>50.65462753950338</v>
      </c>
      <c r="BE40">
        <v>0.5</v>
      </c>
      <c r="BK40">
        <v>15</v>
      </c>
      <c r="BL40" t="s">
        <v>83</v>
      </c>
      <c r="BM40">
        <v>55.561735261401559</v>
      </c>
      <c r="BN40">
        <v>44.438264738598434</v>
      </c>
      <c r="BO40">
        <v>0.5</v>
      </c>
    </row>
    <row r="41" spans="1:67" x14ac:dyDescent="0.2">
      <c r="D41">
        <v>15</v>
      </c>
      <c r="E41" t="s">
        <v>83</v>
      </c>
      <c r="F41">
        <v>64.488508337088774</v>
      </c>
      <c r="G41">
        <v>35.511491662911226</v>
      </c>
      <c r="H41">
        <v>0.5</v>
      </c>
      <c r="L41">
        <v>15</v>
      </c>
      <c r="M41" t="s">
        <v>83</v>
      </c>
      <c r="N41">
        <v>67.750159337157413</v>
      </c>
      <c r="O41">
        <v>32.249840662842587</v>
      </c>
      <c r="P41">
        <v>0.5</v>
      </c>
      <c r="T41">
        <v>15</v>
      </c>
      <c r="U41" t="s">
        <v>83</v>
      </c>
      <c r="AJ41">
        <v>12.5</v>
      </c>
      <c r="AK41" s="3" t="s">
        <v>84</v>
      </c>
      <c r="AL41">
        <v>59.616801768607232</v>
      </c>
      <c r="AM41">
        <v>40.383198231392761</v>
      </c>
      <c r="AN41">
        <v>0.25</v>
      </c>
      <c r="AR41">
        <v>12.5</v>
      </c>
      <c r="AS41" s="3" t="s">
        <v>84</v>
      </c>
      <c r="AT41">
        <v>55.578771416631845</v>
      </c>
      <c r="AU41">
        <v>44.421228583368155</v>
      </c>
      <c r="AV41">
        <v>0.25</v>
      </c>
      <c r="BA41">
        <v>12.5</v>
      </c>
      <c r="BB41" s="3" t="s">
        <v>84</v>
      </c>
      <c r="BC41">
        <v>57.968397291196396</v>
      </c>
      <c r="BD41">
        <v>42.031602708803604</v>
      </c>
      <c r="BE41">
        <v>0.25</v>
      </c>
      <c r="BK41">
        <v>12.5</v>
      </c>
      <c r="BL41" s="3" t="s">
        <v>84</v>
      </c>
      <c r="BM41">
        <v>52.780867630700776</v>
      </c>
      <c r="BN41">
        <v>47.219132369299224</v>
      </c>
      <c r="BO41">
        <v>0.25</v>
      </c>
    </row>
    <row r="42" spans="1:67" x14ac:dyDescent="0.2">
      <c r="D42">
        <v>12.5</v>
      </c>
      <c r="E42" s="3" t="s">
        <v>84</v>
      </c>
      <c r="F42">
        <v>66.831906264082917</v>
      </c>
      <c r="G42">
        <v>33.168093735917076</v>
      </c>
      <c r="H42">
        <v>0.25</v>
      </c>
      <c r="L42">
        <v>12.5</v>
      </c>
      <c r="M42" s="3" t="s">
        <v>84</v>
      </c>
      <c r="N42">
        <v>83.428935627788391</v>
      </c>
      <c r="O42">
        <v>16.571064372211609</v>
      </c>
      <c r="P42">
        <v>0.25</v>
      </c>
      <c r="T42">
        <v>12.5</v>
      </c>
      <c r="U42" s="3" t="s">
        <v>84</v>
      </c>
    </row>
    <row r="43" spans="1:67" x14ac:dyDescent="0.2">
      <c r="C43" t="s">
        <v>74</v>
      </c>
      <c r="D43">
        <v>30</v>
      </c>
      <c r="E43" t="s">
        <v>80</v>
      </c>
      <c r="F43">
        <v>60.297431275349254</v>
      </c>
      <c r="G43">
        <v>39.702568724650746</v>
      </c>
      <c r="H43">
        <v>2</v>
      </c>
      <c r="K43" t="s">
        <v>74</v>
      </c>
      <c r="L43">
        <v>30</v>
      </c>
      <c r="M43" t="s">
        <v>80</v>
      </c>
      <c r="N43">
        <v>48.18355640535372</v>
      </c>
      <c r="O43">
        <v>51.81644359464628</v>
      </c>
      <c r="P43">
        <v>2</v>
      </c>
      <c r="S43" t="s">
        <v>74</v>
      </c>
      <c r="T43">
        <v>30</v>
      </c>
      <c r="U43" t="s">
        <v>80</v>
      </c>
      <c r="AI43" t="s">
        <v>74</v>
      </c>
      <c r="AJ43">
        <v>30</v>
      </c>
      <c r="AK43" t="s">
        <v>75</v>
      </c>
      <c r="AL43">
        <v>171.84966838614594</v>
      </c>
      <c r="AM43">
        <v>-71.849668386145936</v>
      </c>
      <c r="AN43">
        <v>2</v>
      </c>
      <c r="AQ43" t="s">
        <v>74</v>
      </c>
      <c r="AR43">
        <v>30</v>
      </c>
      <c r="AS43" t="s">
        <v>75</v>
      </c>
      <c r="AT43">
        <v>71.040534893439201</v>
      </c>
      <c r="AU43">
        <v>28.959465106560806</v>
      </c>
      <c r="AV43">
        <v>2</v>
      </c>
      <c r="AZ43" t="s">
        <v>74</v>
      </c>
      <c r="BA43">
        <v>30</v>
      </c>
      <c r="BB43" t="s">
        <v>75</v>
      </c>
      <c r="BC43">
        <v>55.575620767494357</v>
      </c>
      <c r="BD43">
        <v>44.424379232505643</v>
      </c>
      <c r="BE43">
        <v>2</v>
      </c>
      <c r="BJ43" t="s">
        <v>74</v>
      </c>
      <c r="BK43">
        <v>30</v>
      </c>
      <c r="BL43" t="s">
        <v>75</v>
      </c>
      <c r="BM43">
        <v>80.08898776418242</v>
      </c>
      <c r="BN43">
        <v>19.91101223581758</v>
      </c>
      <c r="BO43">
        <v>2</v>
      </c>
    </row>
    <row r="44" spans="1:67" x14ac:dyDescent="0.2">
      <c r="C44" s="1" t="s">
        <v>98</v>
      </c>
      <c r="D44">
        <v>20</v>
      </c>
      <c r="E44" t="s">
        <v>82</v>
      </c>
      <c r="F44">
        <v>62.93375394321766</v>
      </c>
      <c r="G44">
        <v>37.06624605678234</v>
      </c>
      <c r="H44">
        <v>1</v>
      </c>
      <c r="K44" s="1" t="s">
        <v>98</v>
      </c>
      <c r="L44">
        <v>20</v>
      </c>
      <c r="M44" t="s">
        <v>82</v>
      </c>
      <c r="N44">
        <v>51.051625239005737</v>
      </c>
      <c r="O44">
        <v>48.948374760994263</v>
      </c>
      <c r="P44">
        <v>1</v>
      </c>
      <c r="S44" s="1" t="s">
        <v>98</v>
      </c>
      <c r="T44">
        <v>20</v>
      </c>
      <c r="U44" t="s">
        <v>82</v>
      </c>
      <c r="AI44" s="1" t="s">
        <v>88</v>
      </c>
      <c r="AJ44">
        <v>12.5</v>
      </c>
      <c r="AK44" s="3" t="s">
        <v>79</v>
      </c>
      <c r="AL44">
        <v>186.07221812822405</v>
      </c>
      <c r="AM44">
        <v>-86.072218128224051</v>
      </c>
      <c r="AN44">
        <v>0.25</v>
      </c>
      <c r="AQ44" s="1" t="s">
        <v>88</v>
      </c>
      <c r="AR44">
        <v>12.5</v>
      </c>
      <c r="AS44" s="3" t="s">
        <v>79</v>
      </c>
      <c r="AT44">
        <v>89.176765566234835</v>
      </c>
      <c r="AU44">
        <v>10.823234433765156</v>
      </c>
      <c r="AV44">
        <v>0.25</v>
      </c>
      <c r="AZ44" s="1" t="s">
        <v>88</v>
      </c>
      <c r="BA44">
        <v>12.5</v>
      </c>
      <c r="BB44" s="3" t="s">
        <v>79</v>
      </c>
      <c r="BC44">
        <v>81.038374717832966</v>
      </c>
      <c r="BD44">
        <v>18.961625282167034</v>
      </c>
      <c r="BE44">
        <v>0.25</v>
      </c>
      <c r="BJ44" s="1" t="s">
        <v>88</v>
      </c>
      <c r="BK44">
        <v>12.5</v>
      </c>
      <c r="BL44" s="3" t="s">
        <v>79</v>
      </c>
      <c r="BM44">
        <v>110.78976640711899</v>
      </c>
      <c r="BN44">
        <v>-10.789766407119</v>
      </c>
      <c r="BO44">
        <v>0.25</v>
      </c>
    </row>
    <row r="45" spans="1:67" x14ac:dyDescent="0.2">
      <c r="D45">
        <v>15</v>
      </c>
      <c r="E45" t="s">
        <v>83</v>
      </c>
      <c r="F45">
        <v>64.037854889589909</v>
      </c>
      <c r="G45">
        <v>35.962145110410091</v>
      </c>
      <c r="H45">
        <v>0.5</v>
      </c>
      <c r="L45">
        <v>15</v>
      </c>
      <c r="M45" t="s">
        <v>83</v>
      </c>
      <c r="N45">
        <v>55.321861057998724</v>
      </c>
      <c r="O45">
        <v>44.678138942001276</v>
      </c>
      <c r="P45">
        <v>0.5</v>
      </c>
      <c r="T45">
        <v>15</v>
      </c>
      <c r="U45" t="s">
        <v>83</v>
      </c>
      <c r="AI45" t="s">
        <v>74</v>
      </c>
      <c r="AJ45">
        <v>30</v>
      </c>
      <c r="AK45" t="s">
        <v>75</v>
      </c>
      <c r="AL45">
        <v>185.4089904200442</v>
      </c>
      <c r="AM45">
        <v>-85.408990420044233</v>
      </c>
      <c r="AN45">
        <v>2</v>
      </c>
      <c r="AQ45" t="s">
        <v>74</v>
      </c>
      <c r="AR45">
        <v>30</v>
      </c>
      <c r="AS45" t="s">
        <v>75</v>
      </c>
      <c r="AT45">
        <v>88.800668616799001</v>
      </c>
      <c r="AU45">
        <v>11.199331383201008</v>
      </c>
      <c r="AV45">
        <v>2</v>
      </c>
      <c r="AZ45" t="s">
        <v>74</v>
      </c>
      <c r="BA45">
        <v>30</v>
      </c>
      <c r="BB45" t="s">
        <v>75</v>
      </c>
      <c r="BC45">
        <v>65.146726862302486</v>
      </c>
      <c r="BD45">
        <v>34.853273137697514</v>
      </c>
      <c r="BE45">
        <v>2</v>
      </c>
      <c r="BJ45" t="s">
        <v>74</v>
      </c>
      <c r="BK45">
        <v>30</v>
      </c>
      <c r="BL45" t="s">
        <v>75</v>
      </c>
      <c r="BM45">
        <v>77.864293659621794</v>
      </c>
      <c r="BN45">
        <v>22.135706340378206</v>
      </c>
      <c r="BO45">
        <v>2</v>
      </c>
    </row>
    <row r="46" spans="1:67" x14ac:dyDescent="0.2">
      <c r="D46">
        <v>12.5</v>
      </c>
      <c r="E46" s="3" t="s">
        <v>84</v>
      </c>
      <c r="F46">
        <v>74.673276250563305</v>
      </c>
      <c r="G46">
        <v>25.326723749436692</v>
      </c>
      <c r="H46">
        <v>0.25</v>
      </c>
      <c r="L46">
        <v>12.5</v>
      </c>
      <c r="M46" s="3" t="s">
        <v>84</v>
      </c>
      <c r="N46">
        <v>72.147864882090502</v>
      </c>
      <c r="O46">
        <v>27.852135117909498</v>
      </c>
      <c r="P46">
        <v>0.25</v>
      </c>
      <c r="T46">
        <v>12.5</v>
      </c>
      <c r="U46" s="3" t="s">
        <v>84</v>
      </c>
      <c r="AI46" s="1" t="s">
        <v>89</v>
      </c>
      <c r="AJ46">
        <v>12.5</v>
      </c>
      <c r="AK46" s="3" t="s">
        <v>79</v>
      </c>
      <c r="AL46">
        <v>190.64112011790721</v>
      </c>
      <c r="AM46">
        <v>-90.641120117907207</v>
      </c>
      <c r="AN46">
        <v>0.25</v>
      </c>
      <c r="AQ46" s="1" t="s">
        <v>89</v>
      </c>
      <c r="AR46">
        <v>12.5</v>
      </c>
      <c r="AS46" s="3" t="s">
        <v>79</v>
      </c>
      <c r="AT46">
        <v>89.636439615545342</v>
      </c>
      <c r="AU46">
        <v>10.363560384454658</v>
      </c>
      <c r="AV46">
        <v>0.25</v>
      </c>
      <c r="AZ46" s="1" t="s">
        <v>89</v>
      </c>
      <c r="BA46">
        <v>12.5</v>
      </c>
      <c r="BB46" s="3" t="s">
        <v>79</v>
      </c>
      <c r="BC46">
        <v>83.340857787810378</v>
      </c>
      <c r="BD46">
        <v>16.659142212189611</v>
      </c>
      <c r="BE46">
        <v>0.25</v>
      </c>
      <c r="BJ46" s="1" t="s">
        <v>89</v>
      </c>
      <c r="BK46">
        <v>12.5</v>
      </c>
      <c r="BL46" s="3" t="s">
        <v>79</v>
      </c>
      <c r="BM46">
        <v>100.38932146829811</v>
      </c>
      <c r="BN46">
        <v>-0.38932146829809872</v>
      </c>
      <c r="BO46">
        <v>0.25</v>
      </c>
    </row>
    <row r="48" spans="1:67" x14ac:dyDescent="0.2">
      <c r="C48" t="s">
        <v>74</v>
      </c>
      <c r="D48">
        <v>30</v>
      </c>
      <c r="E48" t="s">
        <v>75</v>
      </c>
      <c r="F48">
        <v>54.754393871113116</v>
      </c>
      <c r="G48">
        <v>45.245606128886891</v>
      </c>
      <c r="H48">
        <v>2</v>
      </c>
      <c r="K48" t="s">
        <v>74</v>
      </c>
      <c r="L48">
        <v>30</v>
      </c>
      <c r="M48" t="s">
        <v>75</v>
      </c>
      <c r="N48">
        <v>76.035691523263225</v>
      </c>
      <c r="O48">
        <v>23.964308476736772</v>
      </c>
      <c r="P48">
        <v>2</v>
      </c>
      <c r="S48" t="s">
        <v>74</v>
      </c>
      <c r="T48">
        <v>30</v>
      </c>
      <c r="U48" t="s">
        <v>75</v>
      </c>
      <c r="V48">
        <v>95.238095238095241</v>
      </c>
      <c r="W48">
        <v>4.7619047619047592</v>
      </c>
      <c r="X48">
        <v>2</v>
      </c>
    </row>
    <row r="49" spans="2:67" x14ac:dyDescent="0.2">
      <c r="C49" s="1" t="s">
        <v>100</v>
      </c>
      <c r="D49">
        <v>12.5</v>
      </c>
      <c r="E49" s="3" t="s">
        <v>79</v>
      </c>
      <c r="F49">
        <v>87.381703470031539</v>
      </c>
      <c r="G49">
        <v>12.618296529968468</v>
      </c>
      <c r="H49">
        <v>0.25</v>
      </c>
      <c r="K49" s="1" t="s">
        <v>100</v>
      </c>
      <c r="L49">
        <v>12.5</v>
      </c>
      <c r="M49" s="3" t="s">
        <v>79</v>
      </c>
      <c r="N49">
        <v>109.56022944550669</v>
      </c>
      <c r="O49">
        <v>-9.5602294455066925</v>
      </c>
      <c r="P49">
        <v>0.25</v>
      </c>
      <c r="S49" s="1" t="s">
        <v>100</v>
      </c>
      <c r="T49">
        <v>12.5</v>
      </c>
      <c r="U49" s="3" t="s">
        <v>79</v>
      </c>
      <c r="V49">
        <v>126.54061624649857</v>
      </c>
      <c r="W49">
        <v>-26.540616246498583</v>
      </c>
      <c r="X49">
        <v>0.25</v>
      </c>
    </row>
    <row r="50" spans="2:67" x14ac:dyDescent="0.2">
      <c r="C50" t="s">
        <v>74</v>
      </c>
      <c r="D50">
        <v>30</v>
      </c>
      <c r="E50" t="s">
        <v>75</v>
      </c>
      <c r="F50">
        <v>66.155926092834619</v>
      </c>
      <c r="G50">
        <v>33.844073907165381</v>
      </c>
      <c r="H50">
        <v>2</v>
      </c>
      <c r="K50" t="s">
        <v>74</v>
      </c>
      <c r="L50">
        <v>30</v>
      </c>
      <c r="M50" t="s">
        <v>75</v>
      </c>
      <c r="N50">
        <v>74.378585086042065</v>
      </c>
      <c r="O50">
        <v>25.621414913957945</v>
      </c>
      <c r="P50">
        <v>2</v>
      </c>
      <c r="S50" t="s">
        <v>74</v>
      </c>
      <c r="T50">
        <v>30</v>
      </c>
      <c r="U50" t="s">
        <v>75</v>
      </c>
    </row>
    <row r="51" spans="2:67" x14ac:dyDescent="0.2">
      <c r="C51" s="1" t="s">
        <v>101</v>
      </c>
      <c r="D51">
        <v>12.5</v>
      </c>
      <c r="E51" s="3" t="s">
        <v>79</v>
      </c>
      <c r="F51">
        <v>87.607030193780972</v>
      </c>
      <c r="G51">
        <v>12.392969806219023</v>
      </c>
      <c r="H51">
        <v>0.25</v>
      </c>
      <c r="K51" s="1" t="s">
        <v>101</v>
      </c>
      <c r="L51">
        <v>12.5</v>
      </c>
      <c r="M51" s="3" t="s">
        <v>79</v>
      </c>
      <c r="N51">
        <v>117.52708731676225</v>
      </c>
      <c r="O51">
        <v>-17.527087316762248</v>
      </c>
      <c r="P51">
        <v>0.25</v>
      </c>
      <c r="S51" s="1" t="s">
        <v>101</v>
      </c>
      <c r="T51">
        <v>12.5</v>
      </c>
      <c r="U51" s="3" t="s">
        <v>79</v>
      </c>
    </row>
    <row r="52" spans="2:67" x14ac:dyDescent="0.2">
      <c r="C52" t="s">
        <v>74</v>
      </c>
      <c r="D52">
        <v>30</v>
      </c>
      <c r="E52" t="s">
        <v>75</v>
      </c>
      <c r="F52">
        <v>78.909418657052726</v>
      </c>
      <c r="G52">
        <v>21.090581342947274</v>
      </c>
      <c r="H52">
        <v>2</v>
      </c>
      <c r="K52" t="s">
        <v>74</v>
      </c>
      <c r="L52">
        <v>30</v>
      </c>
      <c r="M52" t="s">
        <v>75</v>
      </c>
      <c r="N52">
        <v>67.877629063097515</v>
      </c>
      <c r="O52">
        <v>32.122370936902492</v>
      </c>
      <c r="P52">
        <v>2</v>
      </c>
      <c r="S52" t="s">
        <v>74</v>
      </c>
      <c r="T52">
        <v>30</v>
      </c>
      <c r="U52" t="s">
        <v>75</v>
      </c>
    </row>
    <row r="53" spans="2:67" x14ac:dyDescent="0.2">
      <c r="C53" s="1" t="s">
        <v>89</v>
      </c>
      <c r="D53">
        <v>12.5</v>
      </c>
      <c r="E53" s="3" t="s">
        <v>79</v>
      </c>
      <c r="F53">
        <v>98.963497070752595</v>
      </c>
      <c r="G53">
        <v>1.0365029292474075</v>
      </c>
      <c r="H53">
        <v>0.25</v>
      </c>
      <c r="K53" s="1" t="s">
        <v>89</v>
      </c>
      <c r="L53">
        <v>12.5</v>
      </c>
      <c r="M53" s="3" t="s">
        <v>79</v>
      </c>
      <c r="N53">
        <v>113.25685149776925</v>
      </c>
      <c r="O53">
        <v>-13.25685149776926</v>
      </c>
      <c r="P53">
        <v>0.25</v>
      </c>
      <c r="S53" s="1" t="s">
        <v>89</v>
      </c>
      <c r="T53">
        <v>12.5</v>
      </c>
      <c r="U53" s="3" t="s">
        <v>79</v>
      </c>
      <c r="BC53" t="s">
        <v>85</v>
      </c>
      <c r="BD53" t="s">
        <v>86</v>
      </c>
      <c r="BE53" t="s">
        <v>87</v>
      </c>
      <c r="BM53" t="s">
        <v>85</v>
      </c>
      <c r="BN53" t="s">
        <v>86</v>
      </c>
      <c r="BO53" t="s">
        <v>87</v>
      </c>
    </row>
    <row r="54" spans="2:67" x14ac:dyDescent="0.2">
      <c r="AX54" t="s">
        <v>92</v>
      </c>
      <c r="AY54" t="s">
        <v>94</v>
      </c>
      <c r="AZ54" t="s">
        <v>74</v>
      </c>
      <c r="BA54">
        <v>30</v>
      </c>
      <c r="BB54" t="s">
        <v>75</v>
      </c>
      <c r="BC54">
        <v>27.765237020316025</v>
      </c>
      <c r="BD54">
        <v>72.234762979683978</v>
      </c>
      <c r="BE54">
        <v>2</v>
      </c>
      <c r="BG54" t="s">
        <v>65</v>
      </c>
      <c r="BH54" t="s">
        <v>31</v>
      </c>
      <c r="BJ54" t="s">
        <v>74</v>
      </c>
      <c r="BK54">
        <v>30</v>
      </c>
      <c r="BL54" t="s">
        <v>75</v>
      </c>
      <c r="BM54">
        <v>35.706340378197986</v>
      </c>
      <c r="BN54">
        <v>64.293659621802021</v>
      </c>
      <c r="BO54">
        <v>2</v>
      </c>
    </row>
    <row r="55" spans="2:67" x14ac:dyDescent="0.2">
      <c r="AY55" s="2">
        <v>42703</v>
      </c>
      <c r="AZ55" s="1" t="s">
        <v>76</v>
      </c>
      <c r="BA55">
        <v>20</v>
      </c>
      <c r="BB55" t="s">
        <v>77</v>
      </c>
      <c r="BC55">
        <v>30</v>
      </c>
      <c r="BD55">
        <v>70</v>
      </c>
      <c r="BE55">
        <v>1</v>
      </c>
      <c r="BH55" s="2">
        <v>42713</v>
      </c>
      <c r="BJ55" s="1" t="s">
        <v>76</v>
      </c>
      <c r="BK55">
        <v>20</v>
      </c>
      <c r="BL55" t="s">
        <v>77</v>
      </c>
      <c r="BM55">
        <v>39.460511679644043</v>
      </c>
      <c r="BN55">
        <v>60.539488320355957</v>
      </c>
      <c r="BO55">
        <v>1</v>
      </c>
    </row>
    <row r="56" spans="2:67" x14ac:dyDescent="0.2">
      <c r="BA56">
        <v>15</v>
      </c>
      <c r="BB56" t="s">
        <v>78</v>
      </c>
      <c r="BC56">
        <v>38.645598194130926</v>
      </c>
      <c r="BD56">
        <v>61.354401805869074</v>
      </c>
      <c r="BE56">
        <v>0.5</v>
      </c>
      <c r="BK56">
        <v>15</v>
      </c>
      <c r="BL56" t="s">
        <v>78</v>
      </c>
      <c r="BM56">
        <v>49.555061179087872</v>
      </c>
      <c r="BN56">
        <v>50.444938820912135</v>
      </c>
      <c r="BO56">
        <v>0.5</v>
      </c>
    </row>
    <row r="57" spans="2:67" x14ac:dyDescent="0.2">
      <c r="BA57">
        <v>12.5</v>
      </c>
      <c r="BB57" s="3" t="s">
        <v>79</v>
      </c>
      <c r="BC57">
        <v>48.126410835214458</v>
      </c>
      <c r="BD57">
        <v>51.873589164785535</v>
      </c>
      <c r="BE57">
        <v>0.25</v>
      </c>
      <c r="BK57">
        <v>12.5</v>
      </c>
      <c r="BL57" s="3" t="s">
        <v>79</v>
      </c>
      <c r="BM57">
        <v>65.127919911012242</v>
      </c>
      <c r="BN57">
        <v>34.872080088987758</v>
      </c>
      <c r="BO57">
        <v>0.25</v>
      </c>
    </row>
    <row r="58" spans="2:67" x14ac:dyDescent="0.2">
      <c r="B58" t="s">
        <v>110</v>
      </c>
      <c r="L58" s="7" t="s">
        <v>110</v>
      </c>
      <c r="M58" s="7"/>
      <c r="N58" s="7"/>
      <c r="O58" s="7"/>
      <c r="P58" s="7"/>
      <c r="Q58" s="7"/>
      <c r="R58" s="7"/>
      <c r="S58" s="7"/>
      <c r="T58" s="7"/>
      <c r="AZ58" t="s">
        <v>74</v>
      </c>
      <c r="BA58">
        <v>30</v>
      </c>
      <c r="BB58" t="s">
        <v>80</v>
      </c>
      <c r="BC58">
        <v>45.643340857787805</v>
      </c>
      <c r="BD58">
        <v>54.356659142212195</v>
      </c>
      <c r="BE58">
        <v>2</v>
      </c>
      <c r="BJ58" t="s">
        <v>74</v>
      </c>
      <c r="BK58">
        <v>30</v>
      </c>
      <c r="BL58" t="s">
        <v>80</v>
      </c>
      <c r="BM58">
        <v>45.717463848720804</v>
      </c>
      <c r="BN58">
        <v>54.282536151279196</v>
      </c>
      <c r="BO58">
        <v>2</v>
      </c>
    </row>
    <row r="59" spans="2:67" x14ac:dyDescent="0.2">
      <c r="B59" t="s">
        <v>105</v>
      </c>
      <c r="C59" s="10" t="s">
        <v>51</v>
      </c>
      <c r="D59" s="10" t="s">
        <v>52</v>
      </c>
      <c r="E59" s="10" t="s">
        <v>69</v>
      </c>
      <c r="F59" s="10" t="s">
        <v>68</v>
      </c>
      <c r="G59" s="10" t="s">
        <v>70</v>
      </c>
      <c r="H59" s="10" t="s">
        <v>66</v>
      </c>
      <c r="I59" s="10" t="s">
        <v>67</v>
      </c>
      <c r="J59" s="10" t="s">
        <v>65</v>
      </c>
      <c r="L59" s="7" t="s">
        <v>109</v>
      </c>
      <c r="M59" s="11" t="s">
        <v>51</v>
      </c>
      <c r="N59" s="11" t="s">
        <v>52</v>
      </c>
      <c r="O59" s="11" t="s">
        <v>69</v>
      </c>
      <c r="P59" s="11" t="s">
        <v>68</v>
      </c>
      <c r="Q59" s="11" t="s">
        <v>70</v>
      </c>
      <c r="R59" s="11" t="s">
        <v>66</v>
      </c>
      <c r="S59" s="11" t="s">
        <v>67</v>
      </c>
      <c r="T59" s="11" t="s">
        <v>65</v>
      </c>
      <c r="AZ59" s="1" t="s">
        <v>81</v>
      </c>
      <c r="BA59">
        <v>20</v>
      </c>
      <c r="BB59" t="s">
        <v>82</v>
      </c>
      <c r="BC59">
        <v>50.42889390519187</v>
      </c>
      <c r="BD59">
        <v>49.57110609480813</v>
      </c>
      <c r="BE59">
        <v>1</v>
      </c>
      <c r="BJ59" s="1" t="s">
        <v>81</v>
      </c>
      <c r="BK59">
        <v>20</v>
      </c>
      <c r="BL59" t="s">
        <v>82</v>
      </c>
      <c r="BM59">
        <v>44.271412680756391</v>
      </c>
      <c r="BN59">
        <v>55.728587319243609</v>
      </c>
      <c r="BO59">
        <v>1</v>
      </c>
    </row>
    <row r="60" spans="2:67" x14ac:dyDescent="0.2">
      <c r="B60" s="1" t="s">
        <v>24</v>
      </c>
      <c r="C60" s="9">
        <f>G48</f>
        <v>45.245606128886891</v>
      </c>
      <c r="D60" s="9">
        <f>O48</f>
        <v>23.964308476736772</v>
      </c>
      <c r="E60" s="9">
        <f>W48</f>
        <v>4.7619047619047592</v>
      </c>
      <c r="G60" s="9">
        <f>AM43</f>
        <v>-71.849668386145936</v>
      </c>
      <c r="H60" s="9">
        <f>AU43</f>
        <v>28.959465106560806</v>
      </c>
      <c r="I60" s="9">
        <f>BD43</f>
        <v>44.424379232505643</v>
      </c>
      <c r="J60" s="9">
        <f>BN43</f>
        <v>19.91101223581758</v>
      </c>
      <c r="L60" s="12" t="s">
        <v>24</v>
      </c>
      <c r="M60" s="11"/>
      <c r="N60" s="11"/>
      <c r="O60" s="11"/>
      <c r="P60" s="8">
        <f>AE26</f>
        <v>-2.4089635854341802</v>
      </c>
      <c r="Q60" s="8">
        <f>AM22</f>
        <v>-1.7382906808305207</v>
      </c>
      <c r="R60" s="8">
        <f>AU22</f>
        <v>48.115119578435348</v>
      </c>
      <c r="S60" s="8">
        <f>BD23</f>
        <v>27.41935483870968</v>
      </c>
      <c r="T60" s="8">
        <f>BN22</f>
        <v>4.1292639138240519</v>
      </c>
      <c r="BA60">
        <v>15</v>
      </c>
      <c r="BB60" t="s">
        <v>83</v>
      </c>
      <c r="BC60">
        <v>49.345372460496613</v>
      </c>
      <c r="BD60">
        <v>50.65462753950338</v>
      </c>
      <c r="BE60">
        <v>0.5</v>
      </c>
      <c r="BK60">
        <v>15</v>
      </c>
      <c r="BL60" t="s">
        <v>83</v>
      </c>
      <c r="BM60">
        <v>55.561735261401559</v>
      </c>
      <c r="BN60">
        <v>44.438264738598434</v>
      </c>
      <c r="BO60">
        <v>0.5</v>
      </c>
    </row>
    <row r="61" spans="2:67" x14ac:dyDescent="0.2">
      <c r="B61" s="1" t="s">
        <v>25</v>
      </c>
      <c r="L61" s="12" t="s">
        <v>25</v>
      </c>
      <c r="M61" s="7"/>
      <c r="N61" s="7"/>
      <c r="O61" s="7"/>
      <c r="P61" s="8"/>
      <c r="Q61" s="8"/>
      <c r="R61" s="8"/>
      <c r="S61" s="8"/>
      <c r="T61" s="8"/>
      <c r="BA61">
        <v>12.5</v>
      </c>
      <c r="BB61" s="3" t="s">
        <v>84</v>
      </c>
      <c r="BC61">
        <v>57.968397291196396</v>
      </c>
      <c r="BD61">
        <v>42.031602708803604</v>
      </c>
      <c r="BE61">
        <v>0.25</v>
      </c>
      <c r="BK61">
        <v>12.5</v>
      </c>
      <c r="BL61" s="3" t="s">
        <v>84</v>
      </c>
      <c r="BM61">
        <v>52.780867630700776</v>
      </c>
      <c r="BN61">
        <v>47.219132369299224</v>
      </c>
      <c r="BO61">
        <v>0.25</v>
      </c>
    </row>
    <row r="62" spans="2:67" x14ac:dyDescent="0.2">
      <c r="B62" s="1" t="s">
        <v>26</v>
      </c>
      <c r="L62" s="12" t="s">
        <v>26</v>
      </c>
      <c r="M62" s="7"/>
      <c r="N62" s="7"/>
      <c r="O62" s="7"/>
      <c r="P62" s="8"/>
      <c r="Q62" s="8"/>
      <c r="R62" s="8"/>
      <c r="S62" s="8"/>
      <c r="T62" s="8"/>
    </row>
    <row r="63" spans="2:67" x14ac:dyDescent="0.2">
      <c r="B63" s="1" t="s">
        <v>27</v>
      </c>
      <c r="C63" s="9">
        <f>G49</f>
        <v>12.618296529968468</v>
      </c>
      <c r="D63" s="9">
        <f>O49</f>
        <v>-9.5602294455066925</v>
      </c>
      <c r="E63" s="9">
        <f>W49</f>
        <v>-26.540616246498583</v>
      </c>
      <c r="G63" s="9">
        <f>AM44</f>
        <v>-86.072218128224051</v>
      </c>
      <c r="H63" s="9">
        <f>AU44</f>
        <v>10.823234433765156</v>
      </c>
      <c r="I63" s="9">
        <f>BD44</f>
        <v>18.961625282167034</v>
      </c>
      <c r="J63" s="9">
        <f>BN44</f>
        <v>-10.789766407119</v>
      </c>
      <c r="L63" s="12" t="s">
        <v>27</v>
      </c>
      <c r="M63" s="11"/>
      <c r="N63" s="11"/>
      <c r="O63" s="11"/>
      <c r="P63" s="8">
        <f>AE27</f>
        <v>-4.7619047619047654</v>
      </c>
      <c r="Q63" s="8">
        <f>AM23</f>
        <v>-26.79864799613711</v>
      </c>
      <c r="R63" s="8">
        <f>AU23</f>
        <v>20.389136603161734</v>
      </c>
      <c r="S63" s="8">
        <f>BD24</f>
        <v>1.7241379310344913</v>
      </c>
      <c r="T63" s="8">
        <f>BN23</f>
        <v>-13.1508078994614</v>
      </c>
      <c r="AZ63" t="s">
        <v>74</v>
      </c>
      <c r="BA63">
        <v>30</v>
      </c>
      <c r="BB63" t="s">
        <v>75</v>
      </c>
      <c r="BC63">
        <v>55.575620767494357</v>
      </c>
      <c r="BD63">
        <v>44.424379232505643</v>
      </c>
      <c r="BE63">
        <v>2</v>
      </c>
      <c r="BJ63" t="s">
        <v>74</v>
      </c>
      <c r="BK63">
        <v>30</v>
      </c>
      <c r="BL63" t="s">
        <v>75</v>
      </c>
      <c r="BM63">
        <v>80.08898776418242</v>
      </c>
      <c r="BN63">
        <v>19.91101223581758</v>
      </c>
      <c r="BO63">
        <v>2</v>
      </c>
    </row>
    <row r="64" spans="2:67" x14ac:dyDescent="0.2">
      <c r="H64" s="9"/>
      <c r="I64" s="9"/>
      <c r="J64" s="9"/>
      <c r="L64" s="7"/>
      <c r="M64" s="7"/>
      <c r="N64" s="7"/>
      <c r="O64" s="7"/>
      <c r="P64" s="8"/>
      <c r="Q64" s="8"/>
      <c r="R64" s="9"/>
      <c r="S64" s="9"/>
      <c r="T64" s="9"/>
      <c r="AZ64" s="1" t="s">
        <v>88</v>
      </c>
      <c r="BA64">
        <v>12.5</v>
      </c>
      <c r="BB64" s="3" t="s">
        <v>79</v>
      </c>
      <c r="BC64">
        <v>81.038374717832966</v>
      </c>
      <c r="BD64">
        <v>18.961625282167034</v>
      </c>
      <c r="BE64">
        <v>0.25</v>
      </c>
      <c r="BJ64" s="1" t="s">
        <v>88</v>
      </c>
      <c r="BK64">
        <v>12.5</v>
      </c>
      <c r="BL64" s="3" t="s">
        <v>79</v>
      </c>
      <c r="BM64">
        <v>110.78976640711899</v>
      </c>
      <c r="BN64">
        <v>-10.789766407119</v>
      </c>
      <c r="BO64">
        <v>0.25</v>
      </c>
    </row>
    <row r="65" spans="2:67" x14ac:dyDescent="0.2">
      <c r="B65" t="s">
        <v>111</v>
      </c>
      <c r="C65" s="10"/>
      <c r="L65" s="7" t="s">
        <v>111</v>
      </c>
      <c r="M65" s="11"/>
      <c r="N65" s="7"/>
      <c r="O65" s="7"/>
      <c r="P65" s="8"/>
      <c r="Q65" s="8"/>
      <c r="R65" s="8"/>
      <c r="S65" s="8"/>
      <c r="T65" s="8"/>
      <c r="AZ65" t="s">
        <v>74</v>
      </c>
      <c r="BA65">
        <v>30</v>
      </c>
      <c r="BB65" t="s">
        <v>75</v>
      </c>
      <c r="BC65">
        <v>65.146726862302486</v>
      </c>
      <c r="BD65">
        <v>34.853273137697514</v>
      </c>
      <c r="BE65">
        <v>2</v>
      </c>
      <c r="BJ65" t="s">
        <v>74</v>
      </c>
      <c r="BK65">
        <v>30</v>
      </c>
      <c r="BL65" t="s">
        <v>75</v>
      </c>
      <c r="BM65">
        <v>77.864293659621794</v>
      </c>
      <c r="BN65">
        <v>22.135706340378206</v>
      </c>
      <c r="BO65">
        <v>2</v>
      </c>
    </row>
    <row r="66" spans="2:67" x14ac:dyDescent="0.2">
      <c r="B66" t="s">
        <v>105</v>
      </c>
      <c r="C66" s="10" t="s">
        <v>51</v>
      </c>
      <c r="D66" s="9"/>
      <c r="L66" s="7" t="s">
        <v>109</v>
      </c>
      <c r="M66" s="11" t="s">
        <v>51</v>
      </c>
      <c r="N66" s="11" t="s">
        <v>52</v>
      </c>
      <c r="O66" s="11" t="s">
        <v>69</v>
      </c>
      <c r="P66" s="9" t="s">
        <v>68</v>
      </c>
      <c r="Q66" s="9" t="s">
        <v>70</v>
      </c>
      <c r="R66" s="9" t="s">
        <v>66</v>
      </c>
      <c r="S66" s="9" t="s">
        <v>67</v>
      </c>
      <c r="T66" s="9" t="s">
        <v>65</v>
      </c>
      <c r="AZ66" s="1" t="s">
        <v>89</v>
      </c>
      <c r="BA66">
        <v>12.5</v>
      </c>
      <c r="BB66" s="3" t="s">
        <v>79</v>
      </c>
      <c r="BC66">
        <v>83.340857787810378</v>
      </c>
      <c r="BD66">
        <v>16.659142212189611</v>
      </c>
      <c r="BE66">
        <v>0.25</v>
      </c>
      <c r="BJ66" s="1" t="s">
        <v>89</v>
      </c>
      <c r="BK66">
        <v>12.5</v>
      </c>
      <c r="BL66" s="3" t="s">
        <v>79</v>
      </c>
      <c r="BM66">
        <v>100.38932146829811</v>
      </c>
      <c r="BN66">
        <v>-0.38932146829809872</v>
      </c>
      <c r="BO66">
        <v>0.25</v>
      </c>
    </row>
    <row r="67" spans="2:67" x14ac:dyDescent="0.2">
      <c r="B67" s="1" t="s">
        <v>24</v>
      </c>
      <c r="C67" s="9">
        <f>G50</f>
        <v>33.844073907165381</v>
      </c>
      <c r="D67" s="9">
        <f>O50</f>
        <v>25.621414913957945</v>
      </c>
      <c r="L67" s="12" t="s">
        <v>24</v>
      </c>
      <c r="M67" s="11"/>
      <c r="N67" s="11"/>
      <c r="O67" s="7"/>
      <c r="P67" s="8">
        <f>AE28</f>
        <v>4.2016806722689077</v>
      </c>
      <c r="Q67" s="8"/>
      <c r="R67" s="8"/>
      <c r="S67" s="8"/>
      <c r="T67" s="8"/>
    </row>
    <row r="68" spans="2:67" x14ac:dyDescent="0.2">
      <c r="B68" s="1" t="s">
        <v>25</v>
      </c>
      <c r="L68" s="12" t="s">
        <v>25</v>
      </c>
      <c r="M68" s="7"/>
      <c r="N68" s="7"/>
      <c r="O68" s="7"/>
      <c r="P68" s="8"/>
      <c r="Q68" s="8"/>
      <c r="R68" s="8"/>
      <c r="S68" s="8"/>
      <c r="T68" s="8"/>
    </row>
    <row r="69" spans="2:67" x14ac:dyDescent="0.2">
      <c r="B69" s="1" t="s">
        <v>26</v>
      </c>
      <c r="C69" s="9"/>
      <c r="L69" s="12" t="s">
        <v>26</v>
      </c>
      <c r="M69" s="11"/>
      <c r="N69" s="7"/>
      <c r="O69" s="7"/>
      <c r="P69" s="8"/>
      <c r="Q69" s="8"/>
      <c r="R69" s="8"/>
      <c r="S69" s="8"/>
      <c r="T69" s="8"/>
    </row>
    <row r="70" spans="2:67" x14ac:dyDescent="0.2">
      <c r="B70" s="1" t="s">
        <v>27</v>
      </c>
      <c r="C70" s="9">
        <f>G51</f>
        <v>12.392969806219023</v>
      </c>
      <c r="D70" s="9">
        <f>O51</f>
        <v>-17.527087316762248</v>
      </c>
      <c r="L70" s="12" t="s">
        <v>27</v>
      </c>
      <c r="M70" s="11"/>
      <c r="N70" s="11"/>
      <c r="O70" s="7"/>
      <c r="P70" s="8"/>
      <c r="Q70" s="8"/>
      <c r="R70" s="8"/>
      <c r="S70" s="8"/>
      <c r="T70" s="8"/>
    </row>
    <row r="71" spans="2:67" x14ac:dyDescent="0.2">
      <c r="C71" s="10"/>
      <c r="L71" s="7"/>
      <c r="M71" s="11"/>
      <c r="N71" s="7"/>
      <c r="O71" s="7"/>
      <c r="P71" s="8">
        <f>AE29</f>
        <v>-10.25210084033615</v>
      </c>
      <c r="Q71" s="8"/>
      <c r="R71" s="8"/>
      <c r="S71" s="8"/>
      <c r="T71" s="8"/>
    </row>
    <row r="72" spans="2:67" x14ac:dyDescent="0.2">
      <c r="B72" t="s">
        <v>112</v>
      </c>
      <c r="C72" s="10"/>
      <c r="L72" s="7" t="s">
        <v>112</v>
      </c>
      <c r="M72" s="11"/>
      <c r="N72" s="7"/>
      <c r="O72" s="7"/>
      <c r="P72" s="8"/>
      <c r="Q72" s="8"/>
      <c r="R72" s="8"/>
      <c r="S72" s="8"/>
      <c r="T72" s="8"/>
    </row>
    <row r="73" spans="2:67" x14ac:dyDescent="0.2">
      <c r="B73" t="s">
        <v>105</v>
      </c>
      <c r="C73" s="10" t="s">
        <v>51</v>
      </c>
      <c r="L73" s="7" t="s">
        <v>109</v>
      </c>
      <c r="M73" s="11" t="s">
        <v>51</v>
      </c>
      <c r="N73" s="11" t="s">
        <v>52</v>
      </c>
      <c r="O73" s="11" t="s">
        <v>69</v>
      </c>
      <c r="P73" s="9" t="s">
        <v>68</v>
      </c>
      <c r="Q73" s="9" t="s">
        <v>70</v>
      </c>
      <c r="R73" s="9" t="s">
        <v>66</v>
      </c>
      <c r="S73" s="9" t="s">
        <v>67</v>
      </c>
      <c r="T73" s="9" t="s">
        <v>65</v>
      </c>
    </row>
    <row r="74" spans="2:67" x14ac:dyDescent="0.2">
      <c r="B74" s="1" t="s">
        <v>24</v>
      </c>
      <c r="C74" s="9">
        <f>G52</f>
        <v>21.090581342947274</v>
      </c>
      <c r="D74" s="9">
        <f>O52</f>
        <v>32.122370936902492</v>
      </c>
      <c r="G74" s="9">
        <f>AM45</f>
        <v>-85.408990420044233</v>
      </c>
      <c r="H74" s="9">
        <f>AU45</f>
        <v>11.199331383201008</v>
      </c>
      <c r="I74" s="9">
        <f>BD45</f>
        <v>34.853273137697514</v>
      </c>
      <c r="J74" s="9">
        <f>BN45</f>
        <v>22.135706340378206</v>
      </c>
      <c r="L74" s="12" t="s">
        <v>24</v>
      </c>
      <c r="M74" s="11"/>
      <c r="N74" s="11"/>
      <c r="O74" s="7"/>
      <c r="P74" s="8">
        <f>AE30</f>
        <v>9.0196078431372673</v>
      </c>
      <c r="Q74" s="8">
        <f>AM24</f>
        <v>2.5108643167551921</v>
      </c>
      <c r="R74" s="8">
        <f>AU24</f>
        <v>48.196189704094039</v>
      </c>
      <c r="S74" s="8">
        <f>BD25</f>
        <v>33.704115684093438</v>
      </c>
      <c r="T74" s="8">
        <f>BN24</f>
        <v>16.965888689407542</v>
      </c>
    </row>
    <row r="75" spans="2:67" x14ac:dyDescent="0.2">
      <c r="B75" s="1" t="s">
        <v>25</v>
      </c>
      <c r="L75" s="12" t="s">
        <v>25</v>
      </c>
      <c r="M75" s="7"/>
      <c r="N75" s="7"/>
      <c r="O75" s="7"/>
      <c r="P75" s="8"/>
      <c r="Q75" s="8"/>
      <c r="R75" s="8"/>
      <c r="S75" s="8"/>
      <c r="T75" s="8"/>
    </row>
    <row r="76" spans="2:67" x14ac:dyDescent="0.2">
      <c r="B76" s="1" t="s">
        <v>26</v>
      </c>
      <c r="C76" s="9"/>
      <c r="L76" s="12" t="s">
        <v>26</v>
      </c>
      <c r="M76" s="11"/>
      <c r="N76" s="7"/>
      <c r="O76" s="7"/>
      <c r="P76" s="8"/>
      <c r="Q76" s="8"/>
      <c r="R76" s="8"/>
      <c r="S76" s="8"/>
      <c r="T76" s="8"/>
    </row>
    <row r="77" spans="2:67" x14ac:dyDescent="0.2">
      <c r="B77" s="1" t="s">
        <v>27</v>
      </c>
      <c r="C77" s="9">
        <f>G53</f>
        <v>1.0365029292474075</v>
      </c>
      <c r="D77" s="9">
        <f>O53</f>
        <v>-13.25685149776926</v>
      </c>
      <c r="G77" s="9">
        <f>AM46</f>
        <v>-90.641120117907207</v>
      </c>
      <c r="H77" s="9">
        <f>AU46</f>
        <v>10.363560384454658</v>
      </c>
      <c r="I77" s="9">
        <f>BD46</f>
        <v>16.659142212189611</v>
      </c>
      <c r="J77" s="9">
        <f>BN46</f>
        <v>-0.38932146829809872</v>
      </c>
      <c r="L77" s="12" t="s">
        <v>27</v>
      </c>
      <c r="M77" s="11"/>
      <c r="N77" s="11"/>
      <c r="O77" s="7"/>
      <c r="P77" s="8">
        <f>AE31</f>
        <v>-0.952380952380946</v>
      </c>
      <c r="Q77" s="8">
        <f>AM25</f>
        <v>-26.702076291646531</v>
      </c>
      <c r="R77" s="8">
        <f>AU25</f>
        <v>20.835022294284546</v>
      </c>
      <c r="S77" s="8">
        <f>BD26</f>
        <v>-6.3959955506117705</v>
      </c>
      <c r="T77" s="8">
        <f>BN25</f>
        <v>-6.687612208258531</v>
      </c>
    </row>
  </sheetData>
  <phoneticPr fontId="4" type="noConversion"/>
  <pageMargins left="0.75" right="0.75" top="1" bottom="1" header="0.5" footer="0.5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39E9-C228-594A-9A94-8D688AB88FE6}">
  <dimension ref="B1:J5"/>
  <sheetViews>
    <sheetView tabSelected="1" workbookViewId="0">
      <selection activeCell="H21" sqref="H21"/>
    </sheetView>
  </sheetViews>
  <sheetFormatPr baseColWidth="10" defaultRowHeight="16" x14ac:dyDescent="0.2"/>
  <sheetData>
    <row r="1" spans="2:10" x14ac:dyDescent="0.2">
      <c r="B1" s="16"/>
      <c r="C1" s="18"/>
      <c r="D1" s="18"/>
      <c r="E1" s="18"/>
      <c r="F1" s="18"/>
      <c r="G1" s="18"/>
      <c r="H1" s="18"/>
      <c r="I1" s="18"/>
      <c r="J1" s="18"/>
    </row>
    <row r="2" spans="2:10" x14ac:dyDescent="0.2">
      <c r="B2" s="17"/>
      <c r="C2" s="15"/>
      <c r="D2" s="15"/>
      <c r="E2" s="15"/>
      <c r="F2" s="15"/>
      <c r="G2" s="15"/>
      <c r="H2" s="15"/>
      <c r="I2" s="15"/>
      <c r="J2" s="15"/>
    </row>
    <row r="3" spans="2:10" x14ac:dyDescent="0.2">
      <c r="B3" s="17"/>
      <c r="C3" s="15"/>
      <c r="D3" s="15"/>
      <c r="E3" s="15"/>
      <c r="F3" s="15"/>
      <c r="G3" s="15"/>
      <c r="H3" s="15"/>
      <c r="I3" s="15"/>
      <c r="J3" s="15"/>
    </row>
    <row r="4" spans="2:10" x14ac:dyDescent="0.2">
      <c r="B4" s="17"/>
      <c r="C4" s="15"/>
      <c r="D4" s="15"/>
      <c r="E4" s="15"/>
      <c r="F4" s="15"/>
      <c r="G4" s="15"/>
      <c r="H4" s="15"/>
      <c r="I4" s="15"/>
      <c r="J4" s="15"/>
    </row>
    <row r="5" spans="2:10" x14ac:dyDescent="0.2">
      <c r="B5" s="17"/>
      <c r="C5" s="15"/>
      <c r="D5" s="15"/>
      <c r="E5" s="15"/>
      <c r="F5" s="15"/>
      <c r="G5" s="15"/>
      <c r="H5" s="15"/>
      <c r="I5" s="15"/>
      <c r="J5" s="15"/>
    </row>
  </sheetData>
  <mergeCells count="1">
    <mergeCell ref="C1:J1"/>
  </mergeCells>
  <conditionalFormatting sqref="C11:C14 C2:C5">
    <cfRule type="duplicateValues" dxfId="6" priority="7"/>
  </conditionalFormatting>
  <conditionalFormatting sqref="D2:D5 D11:D14">
    <cfRule type="duplicateValues" dxfId="5" priority="6"/>
  </conditionalFormatting>
  <conditionalFormatting sqref="E11:E14 E2:E5">
    <cfRule type="duplicateValues" dxfId="4" priority="5"/>
  </conditionalFormatting>
  <conditionalFormatting sqref="G2:G5 G11:G14">
    <cfRule type="duplicateValues" dxfId="3" priority="4"/>
  </conditionalFormatting>
  <conditionalFormatting sqref="H2:H6 H11:H14">
    <cfRule type="duplicateValues" dxfId="2" priority="3"/>
  </conditionalFormatting>
  <conditionalFormatting sqref="I2:I5 I11:I14">
    <cfRule type="duplicateValues" dxfId="1" priority="2"/>
  </conditionalFormatting>
  <conditionalFormatting sqref="J2:J5 J11:J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expansion data</vt:lpstr>
      <vt:lpstr>fold and cumlative expansion</vt:lpstr>
      <vt:lpstr>Suppressive function</vt:lpstr>
      <vt:lpstr>Sheet1</vt:lpstr>
    </vt:vector>
  </TitlesOfParts>
  <Company>Anthony Nolan Research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Duggleby</dc:creator>
  <cp:lastModifiedBy>Richard Duggleby</cp:lastModifiedBy>
  <cp:lastPrinted>2017-04-25T10:43:42Z</cp:lastPrinted>
  <dcterms:created xsi:type="dcterms:W3CDTF">2016-04-12T08:16:41Z</dcterms:created>
  <dcterms:modified xsi:type="dcterms:W3CDTF">2022-01-20T13:21:22Z</dcterms:modified>
</cp:coreProperties>
</file>