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vpop\Desktop\Finlandia\"/>
    </mc:Choice>
  </mc:AlternateContent>
  <xr:revisionPtr revIDLastSave="0" documentId="13_ncr:1_{76C00806-AF0F-4D2D-A808-8B7CDB276B02}" xr6:coauthVersionLast="45" xr6:coauthVersionMax="45" xr10:uidLastSave="{00000000-0000-0000-0000-000000000000}"/>
  <bookViews>
    <workbookView xWindow="-120" yWindow="-120" windowWidth="20730" windowHeight="11160" activeTab="2" xr2:uid="{71FEB4D2-7F5D-634F-B131-CC5FEAE62FB8}"/>
  </bookViews>
  <sheets>
    <sheet name="Genomes" sheetId="1" r:id="rId1"/>
    <sheet name="Chromosomes" sheetId="5" r:id="rId2"/>
    <sheet name="Plasmids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74" i="6" l="1"/>
  <c r="AJ74" i="6" l="1"/>
  <c r="AK74" i="6"/>
  <c r="AL74" i="6"/>
  <c r="AM74" i="6"/>
  <c r="AN74" i="6"/>
  <c r="AO74" i="6"/>
  <c r="P187" i="1"/>
  <c r="E75" i="6"/>
  <c r="F75" i="6"/>
  <c r="G75" i="6"/>
  <c r="H75" i="6"/>
  <c r="I75" i="6"/>
  <c r="J75" i="6"/>
  <c r="K75" i="6"/>
  <c r="L75" i="6"/>
  <c r="M75" i="6"/>
  <c r="N75" i="6"/>
  <c r="O75" i="6"/>
  <c r="P75" i="6"/>
  <c r="Q75" i="6"/>
  <c r="R75" i="6"/>
  <c r="S75" i="6"/>
  <c r="T75" i="6"/>
  <c r="U75" i="6"/>
  <c r="V75" i="6"/>
  <c r="W75" i="6"/>
  <c r="X75" i="6"/>
  <c r="Y75" i="6"/>
  <c r="Z75" i="6"/>
  <c r="AA75" i="6"/>
  <c r="AB75" i="6"/>
  <c r="AC75" i="6"/>
  <c r="AD75" i="6"/>
  <c r="AE75" i="6"/>
  <c r="N187" i="1"/>
  <c r="K187" i="1"/>
  <c r="DB2" i="5" l="1"/>
  <c r="DB3" i="5"/>
  <c r="DB4" i="5"/>
  <c r="DB5" i="5"/>
  <c r="DB6" i="5"/>
  <c r="DB7" i="5"/>
  <c r="DB8" i="5"/>
  <c r="DB9" i="5"/>
  <c r="DB10" i="5"/>
  <c r="DB11" i="5"/>
  <c r="DB12" i="5"/>
  <c r="DB13" i="5"/>
  <c r="DB14" i="5"/>
  <c r="DB15" i="5"/>
  <c r="DB16" i="5"/>
  <c r="DB17" i="5"/>
  <c r="DB18" i="5"/>
  <c r="DB19" i="5"/>
  <c r="DB20" i="5"/>
  <c r="DB21" i="5"/>
  <c r="DB22" i="5"/>
  <c r="DB23" i="5"/>
  <c r="DB24" i="5"/>
  <c r="DB25" i="5"/>
  <c r="DB26" i="5"/>
  <c r="DB27" i="5"/>
  <c r="DB28" i="5"/>
  <c r="DB29" i="5"/>
  <c r="DB30" i="5"/>
  <c r="DB31" i="5"/>
  <c r="DB32" i="5"/>
  <c r="DB33" i="5"/>
  <c r="DB34" i="5"/>
  <c r="DB35" i="5"/>
  <c r="DB36" i="5"/>
  <c r="DB37" i="5"/>
  <c r="DB38" i="5"/>
  <c r="DB39" i="5"/>
  <c r="DB40" i="5"/>
  <c r="DB41" i="5"/>
  <c r="DB42" i="5"/>
  <c r="DB43" i="5"/>
  <c r="DB44" i="5"/>
  <c r="DB45" i="5"/>
  <c r="DB46" i="5"/>
  <c r="DB47" i="5"/>
  <c r="DB48" i="5"/>
  <c r="DB49" i="5"/>
  <c r="DB50" i="5"/>
  <c r="DB51" i="5"/>
  <c r="DB52" i="5"/>
  <c r="DB53" i="5"/>
  <c r="DB54" i="5"/>
  <c r="DB55" i="5"/>
  <c r="DB56" i="5"/>
  <c r="DB57" i="5"/>
  <c r="DB58" i="5"/>
  <c r="DB59" i="5"/>
  <c r="DB60" i="5"/>
  <c r="DB61" i="5"/>
  <c r="DB62" i="5"/>
  <c r="DB63" i="5"/>
  <c r="DB64" i="5"/>
  <c r="DB65" i="5"/>
  <c r="DB66" i="5"/>
  <c r="DB67" i="5"/>
  <c r="DB68" i="5"/>
  <c r="DB69" i="5"/>
  <c r="DB70" i="5"/>
  <c r="DB71" i="5"/>
  <c r="DB72" i="5"/>
  <c r="DB73" i="5"/>
  <c r="DB74" i="5"/>
  <c r="DB75" i="5"/>
  <c r="DB76" i="5"/>
  <c r="DB77" i="5"/>
  <c r="DB78" i="5"/>
  <c r="DB79" i="5"/>
  <c r="DB80" i="5"/>
  <c r="DB81" i="5"/>
  <c r="DB82" i="5"/>
  <c r="DB83" i="5"/>
  <c r="DB84" i="5"/>
  <c r="DB85" i="5"/>
  <c r="DB86" i="5"/>
  <c r="DB87" i="5"/>
  <c r="DB88" i="5"/>
  <c r="DB89" i="5"/>
  <c r="DB90" i="5"/>
  <c r="DB91" i="5"/>
  <c r="DB92" i="5"/>
  <c r="DB93" i="5"/>
  <c r="DB94" i="5"/>
  <c r="DB95" i="5"/>
  <c r="DB96" i="5"/>
  <c r="DB97" i="5"/>
  <c r="DB98" i="5"/>
  <c r="DB99" i="5"/>
  <c r="DB100" i="5"/>
  <c r="DB101" i="5"/>
  <c r="DB102" i="5"/>
  <c r="DB103" i="5"/>
  <c r="DB104" i="5"/>
  <c r="DB105" i="5"/>
  <c r="DB106" i="5"/>
  <c r="DB107" i="5"/>
  <c r="DB108" i="5"/>
  <c r="DB109" i="5"/>
  <c r="DB110" i="5"/>
  <c r="DB111" i="5"/>
  <c r="DB112" i="5"/>
  <c r="DB113" i="5"/>
  <c r="DB114" i="5"/>
  <c r="DB115" i="5"/>
  <c r="DB116" i="5"/>
  <c r="DB117" i="5"/>
  <c r="DB118" i="5"/>
  <c r="DB119" i="5"/>
  <c r="DB120" i="5"/>
  <c r="DB121" i="5"/>
  <c r="DB122" i="5"/>
  <c r="DB123" i="5"/>
  <c r="DB124" i="5"/>
  <c r="DB125" i="5"/>
  <c r="DB126" i="5"/>
  <c r="DB127" i="5"/>
  <c r="DB128" i="5"/>
  <c r="DB129" i="5"/>
  <c r="DB130" i="5"/>
  <c r="DB131" i="5"/>
  <c r="DB132" i="5"/>
  <c r="DB133" i="5"/>
  <c r="DB134" i="5"/>
  <c r="DB135" i="5"/>
  <c r="DB136" i="5"/>
  <c r="DB137" i="5"/>
  <c r="DB138" i="5"/>
  <c r="DB139" i="5"/>
  <c r="DB140" i="5"/>
  <c r="DB141" i="5"/>
  <c r="DB142" i="5"/>
  <c r="DB143" i="5"/>
  <c r="DB144" i="5"/>
  <c r="DB145" i="5"/>
  <c r="DB146" i="5"/>
  <c r="DB147" i="5"/>
  <c r="DB148" i="5"/>
  <c r="DB149" i="5"/>
  <c r="DB150" i="5"/>
  <c r="DB151" i="5"/>
  <c r="DB152" i="5"/>
  <c r="DB153" i="5"/>
  <c r="DB154" i="5"/>
  <c r="DB155" i="5"/>
  <c r="DB156" i="5"/>
  <c r="DB157" i="5"/>
  <c r="DB158" i="5"/>
  <c r="DB159" i="5"/>
  <c r="DB160" i="5"/>
  <c r="DB161" i="5"/>
  <c r="DB162" i="5"/>
  <c r="DB163" i="5"/>
  <c r="DB164" i="5"/>
  <c r="DB165" i="5"/>
  <c r="DB166" i="5"/>
  <c r="DB167" i="5"/>
  <c r="DB168" i="5"/>
  <c r="DB169" i="5"/>
  <c r="DB170" i="5"/>
  <c r="DB171" i="5"/>
  <c r="DB172" i="5"/>
  <c r="DB173" i="5"/>
  <c r="DB174" i="5"/>
  <c r="DB175" i="5"/>
  <c r="DB176" i="5"/>
  <c r="DB177" i="5"/>
  <c r="DB178" i="5"/>
  <c r="DB179" i="5"/>
  <c r="DB180" i="5"/>
  <c r="DB181" i="5"/>
  <c r="DB182" i="5"/>
  <c r="DB183" i="5"/>
  <c r="DB184" i="5"/>
  <c r="DB185" i="5"/>
  <c r="DB186" i="5"/>
  <c r="DB187" i="5"/>
  <c r="DB188" i="5"/>
  <c r="CW3" i="5"/>
  <c r="CX3" i="5"/>
  <c r="CY3" i="5"/>
  <c r="CZ3" i="5"/>
  <c r="DA3" i="5"/>
  <c r="CW4" i="5"/>
  <c r="CX4" i="5"/>
  <c r="CY4" i="5"/>
  <c r="CZ4" i="5"/>
  <c r="DA4" i="5"/>
  <c r="CW5" i="5"/>
  <c r="CX5" i="5"/>
  <c r="CY5" i="5"/>
  <c r="CZ5" i="5"/>
  <c r="DA5" i="5"/>
  <c r="CW6" i="5"/>
  <c r="CX6" i="5"/>
  <c r="CY6" i="5"/>
  <c r="CZ6" i="5"/>
  <c r="DA6" i="5"/>
  <c r="CW7" i="5"/>
  <c r="CX7" i="5"/>
  <c r="CY7" i="5"/>
  <c r="CZ7" i="5"/>
  <c r="DA7" i="5"/>
  <c r="CW8" i="5"/>
  <c r="CX8" i="5"/>
  <c r="CY8" i="5"/>
  <c r="CZ8" i="5"/>
  <c r="DA8" i="5"/>
  <c r="CW9" i="5"/>
  <c r="CX9" i="5"/>
  <c r="CY9" i="5"/>
  <c r="CZ9" i="5"/>
  <c r="DA9" i="5"/>
  <c r="CW10" i="5"/>
  <c r="CX10" i="5"/>
  <c r="CY10" i="5"/>
  <c r="CZ10" i="5"/>
  <c r="DA10" i="5"/>
  <c r="CW11" i="5"/>
  <c r="CX11" i="5"/>
  <c r="CY11" i="5"/>
  <c r="CZ11" i="5"/>
  <c r="DA11" i="5"/>
  <c r="CW12" i="5"/>
  <c r="CX12" i="5"/>
  <c r="CY12" i="5"/>
  <c r="CZ12" i="5"/>
  <c r="DA12" i="5"/>
  <c r="CW13" i="5"/>
  <c r="CX13" i="5"/>
  <c r="CY13" i="5"/>
  <c r="CZ13" i="5"/>
  <c r="DA13" i="5"/>
  <c r="CW14" i="5"/>
  <c r="CX14" i="5"/>
  <c r="CY14" i="5"/>
  <c r="CZ14" i="5"/>
  <c r="DA14" i="5"/>
  <c r="CW15" i="5"/>
  <c r="CX15" i="5"/>
  <c r="CY15" i="5"/>
  <c r="CZ15" i="5"/>
  <c r="DA15" i="5"/>
  <c r="CW16" i="5"/>
  <c r="CX16" i="5"/>
  <c r="CY16" i="5"/>
  <c r="CZ16" i="5"/>
  <c r="DA16" i="5"/>
  <c r="CW17" i="5"/>
  <c r="CX17" i="5"/>
  <c r="CY17" i="5"/>
  <c r="CZ17" i="5"/>
  <c r="DA17" i="5"/>
  <c r="CW18" i="5"/>
  <c r="CX18" i="5"/>
  <c r="CY18" i="5"/>
  <c r="CZ18" i="5"/>
  <c r="DA18" i="5"/>
  <c r="CW19" i="5"/>
  <c r="CX19" i="5"/>
  <c r="CY19" i="5"/>
  <c r="CZ19" i="5"/>
  <c r="DA19" i="5"/>
  <c r="CW20" i="5"/>
  <c r="CX20" i="5"/>
  <c r="CY20" i="5"/>
  <c r="CZ20" i="5"/>
  <c r="DA20" i="5"/>
  <c r="CW21" i="5"/>
  <c r="CX21" i="5"/>
  <c r="CY21" i="5"/>
  <c r="CZ21" i="5"/>
  <c r="DA21" i="5"/>
  <c r="CW22" i="5"/>
  <c r="CX22" i="5"/>
  <c r="CY22" i="5"/>
  <c r="CZ22" i="5"/>
  <c r="DA22" i="5"/>
  <c r="CW23" i="5"/>
  <c r="CX23" i="5"/>
  <c r="CY23" i="5"/>
  <c r="CZ23" i="5"/>
  <c r="DA23" i="5"/>
  <c r="CW24" i="5"/>
  <c r="CX24" i="5"/>
  <c r="CY24" i="5"/>
  <c r="CZ24" i="5"/>
  <c r="DA24" i="5"/>
  <c r="CW25" i="5"/>
  <c r="CX25" i="5"/>
  <c r="CY25" i="5"/>
  <c r="CZ25" i="5"/>
  <c r="DA25" i="5"/>
  <c r="CW26" i="5"/>
  <c r="CX26" i="5"/>
  <c r="CY26" i="5"/>
  <c r="CZ26" i="5"/>
  <c r="DA26" i="5"/>
  <c r="CW27" i="5"/>
  <c r="CX27" i="5"/>
  <c r="CY27" i="5"/>
  <c r="CZ27" i="5"/>
  <c r="DA27" i="5"/>
  <c r="CW28" i="5"/>
  <c r="CX28" i="5"/>
  <c r="CY28" i="5"/>
  <c r="CZ28" i="5"/>
  <c r="DA28" i="5"/>
  <c r="CW29" i="5"/>
  <c r="CX29" i="5"/>
  <c r="CY29" i="5"/>
  <c r="CZ29" i="5"/>
  <c r="DA29" i="5"/>
  <c r="CW30" i="5"/>
  <c r="CX30" i="5"/>
  <c r="CY30" i="5"/>
  <c r="CZ30" i="5"/>
  <c r="DA30" i="5"/>
  <c r="CW31" i="5"/>
  <c r="CX31" i="5"/>
  <c r="CY31" i="5"/>
  <c r="CZ31" i="5"/>
  <c r="DA31" i="5"/>
  <c r="CW32" i="5"/>
  <c r="CX32" i="5"/>
  <c r="CY32" i="5"/>
  <c r="CZ32" i="5"/>
  <c r="DA32" i="5"/>
  <c r="CW33" i="5"/>
  <c r="CX33" i="5"/>
  <c r="CY33" i="5"/>
  <c r="CZ33" i="5"/>
  <c r="DA33" i="5"/>
  <c r="CW34" i="5"/>
  <c r="CX34" i="5"/>
  <c r="CY34" i="5"/>
  <c r="CZ34" i="5"/>
  <c r="DA34" i="5"/>
  <c r="CW35" i="5"/>
  <c r="CX35" i="5"/>
  <c r="CY35" i="5"/>
  <c r="CZ35" i="5"/>
  <c r="DA35" i="5"/>
  <c r="CW36" i="5"/>
  <c r="CX36" i="5"/>
  <c r="CY36" i="5"/>
  <c r="CZ36" i="5"/>
  <c r="DA36" i="5"/>
  <c r="CW37" i="5"/>
  <c r="CX37" i="5"/>
  <c r="CY37" i="5"/>
  <c r="CZ37" i="5"/>
  <c r="DA37" i="5"/>
  <c r="CW38" i="5"/>
  <c r="CX38" i="5"/>
  <c r="CY38" i="5"/>
  <c r="CZ38" i="5"/>
  <c r="DA38" i="5"/>
  <c r="CW39" i="5"/>
  <c r="CX39" i="5"/>
  <c r="CY39" i="5"/>
  <c r="CZ39" i="5"/>
  <c r="DA39" i="5"/>
  <c r="CW40" i="5"/>
  <c r="CX40" i="5"/>
  <c r="CY40" i="5"/>
  <c r="CZ40" i="5"/>
  <c r="DA40" i="5"/>
  <c r="CW41" i="5"/>
  <c r="CX41" i="5"/>
  <c r="CY41" i="5"/>
  <c r="CZ41" i="5"/>
  <c r="DA41" i="5"/>
  <c r="CW42" i="5"/>
  <c r="CX42" i="5"/>
  <c r="CY42" i="5"/>
  <c r="CZ42" i="5"/>
  <c r="DA42" i="5"/>
  <c r="CW43" i="5"/>
  <c r="CX43" i="5"/>
  <c r="CY43" i="5"/>
  <c r="CZ43" i="5"/>
  <c r="DA43" i="5"/>
  <c r="CW44" i="5"/>
  <c r="CX44" i="5"/>
  <c r="CY44" i="5"/>
  <c r="CZ44" i="5"/>
  <c r="DA44" i="5"/>
  <c r="CW45" i="5"/>
  <c r="CX45" i="5"/>
  <c r="CY45" i="5"/>
  <c r="CZ45" i="5"/>
  <c r="DA45" i="5"/>
  <c r="CW46" i="5"/>
  <c r="CX46" i="5"/>
  <c r="CY46" i="5"/>
  <c r="CZ46" i="5"/>
  <c r="DA46" i="5"/>
  <c r="CW47" i="5"/>
  <c r="CX47" i="5"/>
  <c r="CY47" i="5"/>
  <c r="CZ47" i="5"/>
  <c r="DA47" i="5"/>
  <c r="CW48" i="5"/>
  <c r="CX48" i="5"/>
  <c r="CY48" i="5"/>
  <c r="CZ48" i="5"/>
  <c r="DA48" i="5"/>
  <c r="CW49" i="5"/>
  <c r="CX49" i="5"/>
  <c r="CY49" i="5"/>
  <c r="CZ49" i="5"/>
  <c r="DA49" i="5"/>
  <c r="CW50" i="5"/>
  <c r="CX50" i="5"/>
  <c r="CY50" i="5"/>
  <c r="CZ50" i="5"/>
  <c r="DA50" i="5"/>
  <c r="CW51" i="5"/>
  <c r="CX51" i="5"/>
  <c r="CY51" i="5"/>
  <c r="CZ51" i="5"/>
  <c r="DA51" i="5"/>
  <c r="CW52" i="5"/>
  <c r="CX52" i="5"/>
  <c r="CY52" i="5"/>
  <c r="CZ52" i="5"/>
  <c r="DA52" i="5"/>
  <c r="CW53" i="5"/>
  <c r="CX53" i="5"/>
  <c r="CY53" i="5"/>
  <c r="CZ53" i="5"/>
  <c r="DA53" i="5"/>
  <c r="CW54" i="5"/>
  <c r="CX54" i="5"/>
  <c r="CY54" i="5"/>
  <c r="CZ54" i="5"/>
  <c r="DA54" i="5"/>
  <c r="CW55" i="5"/>
  <c r="CX55" i="5"/>
  <c r="CY55" i="5"/>
  <c r="CZ55" i="5"/>
  <c r="DA55" i="5"/>
  <c r="CW56" i="5"/>
  <c r="CX56" i="5"/>
  <c r="CY56" i="5"/>
  <c r="CZ56" i="5"/>
  <c r="DA56" i="5"/>
  <c r="CW57" i="5"/>
  <c r="CX57" i="5"/>
  <c r="CY57" i="5"/>
  <c r="CZ57" i="5"/>
  <c r="DA57" i="5"/>
  <c r="CW58" i="5"/>
  <c r="CX58" i="5"/>
  <c r="CY58" i="5"/>
  <c r="CZ58" i="5"/>
  <c r="DA58" i="5"/>
  <c r="CW59" i="5"/>
  <c r="CX59" i="5"/>
  <c r="CY59" i="5"/>
  <c r="CZ59" i="5"/>
  <c r="DA59" i="5"/>
  <c r="CW60" i="5"/>
  <c r="CX60" i="5"/>
  <c r="CY60" i="5"/>
  <c r="CZ60" i="5"/>
  <c r="DA60" i="5"/>
  <c r="CW61" i="5"/>
  <c r="CX61" i="5"/>
  <c r="CY61" i="5"/>
  <c r="CZ61" i="5"/>
  <c r="DA61" i="5"/>
  <c r="CW62" i="5"/>
  <c r="CX62" i="5"/>
  <c r="CY62" i="5"/>
  <c r="CZ62" i="5"/>
  <c r="DA62" i="5"/>
  <c r="CW63" i="5"/>
  <c r="CX63" i="5"/>
  <c r="CY63" i="5"/>
  <c r="CZ63" i="5"/>
  <c r="DA63" i="5"/>
  <c r="CW64" i="5"/>
  <c r="CX64" i="5"/>
  <c r="CY64" i="5"/>
  <c r="CZ64" i="5"/>
  <c r="DA64" i="5"/>
  <c r="CW65" i="5"/>
  <c r="CX65" i="5"/>
  <c r="CY65" i="5"/>
  <c r="CZ65" i="5"/>
  <c r="DA65" i="5"/>
  <c r="CW66" i="5"/>
  <c r="CX66" i="5"/>
  <c r="CY66" i="5"/>
  <c r="CZ66" i="5"/>
  <c r="DA66" i="5"/>
  <c r="CW67" i="5"/>
  <c r="CX67" i="5"/>
  <c r="CY67" i="5"/>
  <c r="CZ67" i="5"/>
  <c r="DA67" i="5"/>
  <c r="CW68" i="5"/>
  <c r="CX68" i="5"/>
  <c r="CY68" i="5"/>
  <c r="CZ68" i="5"/>
  <c r="DA68" i="5"/>
  <c r="CW69" i="5"/>
  <c r="CX69" i="5"/>
  <c r="CY69" i="5"/>
  <c r="CZ69" i="5"/>
  <c r="DA69" i="5"/>
  <c r="CW70" i="5"/>
  <c r="CX70" i="5"/>
  <c r="CY70" i="5"/>
  <c r="CZ70" i="5"/>
  <c r="DA70" i="5"/>
  <c r="CW71" i="5"/>
  <c r="CX71" i="5"/>
  <c r="CY71" i="5"/>
  <c r="CZ71" i="5"/>
  <c r="DA71" i="5"/>
  <c r="CW72" i="5"/>
  <c r="CX72" i="5"/>
  <c r="CY72" i="5"/>
  <c r="CZ72" i="5"/>
  <c r="DA72" i="5"/>
  <c r="CW73" i="5"/>
  <c r="CX73" i="5"/>
  <c r="CY73" i="5"/>
  <c r="CZ73" i="5"/>
  <c r="DA73" i="5"/>
  <c r="CW74" i="5"/>
  <c r="CX74" i="5"/>
  <c r="CY74" i="5"/>
  <c r="CZ74" i="5"/>
  <c r="DA74" i="5"/>
  <c r="CW75" i="5"/>
  <c r="CX75" i="5"/>
  <c r="CY75" i="5"/>
  <c r="CZ75" i="5"/>
  <c r="DA75" i="5"/>
  <c r="CW76" i="5"/>
  <c r="CX76" i="5"/>
  <c r="CY76" i="5"/>
  <c r="CZ76" i="5"/>
  <c r="DA76" i="5"/>
  <c r="CW77" i="5"/>
  <c r="CX77" i="5"/>
  <c r="CY77" i="5"/>
  <c r="CZ77" i="5"/>
  <c r="DA77" i="5"/>
  <c r="CW78" i="5"/>
  <c r="CX78" i="5"/>
  <c r="CY78" i="5"/>
  <c r="CZ78" i="5"/>
  <c r="DA78" i="5"/>
  <c r="CW79" i="5"/>
  <c r="CX79" i="5"/>
  <c r="CY79" i="5"/>
  <c r="CZ79" i="5"/>
  <c r="DA79" i="5"/>
  <c r="CW80" i="5"/>
  <c r="CX80" i="5"/>
  <c r="CY80" i="5"/>
  <c r="CZ80" i="5"/>
  <c r="DA80" i="5"/>
  <c r="CW81" i="5"/>
  <c r="CX81" i="5"/>
  <c r="CY81" i="5"/>
  <c r="CZ81" i="5"/>
  <c r="DA81" i="5"/>
  <c r="CW82" i="5"/>
  <c r="CX82" i="5"/>
  <c r="CY82" i="5"/>
  <c r="CZ82" i="5"/>
  <c r="DA82" i="5"/>
  <c r="CW83" i="5"/>
  <c r="CX83" i="5"/>
  <c r="CY83" i="5"/>
  <c r="CZ83" i="5"/>
  <c r="DA83" i="5"/>
  <c r="CW84" i="5"/>
  <c r="CX84" i="5"/>
  <c r="CY84" i="5"/>
  <c r="CZ84" i="5"/>
  <c r="DA84" i="5"/>
  <c r="CW85" i="5"/>
  <c r="CX85" i="5"/>
  <c r="CY85" i="5"/>
  <c r="CZ85" i="5"/>
  <c r="DA85" i="5"/>
  <c r="CW86" i="5"/>
  <c r="CX86" i="5"/>
  <c r="CY86" i="5"/>
  <c r="CZ86" i="5"/>
  <c r="DA86" i="5"/>
  <c r="CW87" i="5"/>
  <c r="CX87" i="5"/>
  <c r="CY87" i="5"/>
  <c r="CZ87" i="5"/>
  <c r="DA87" i="5"/>
  <c r="CW88" i="5"/>
  <c r="CX88" i="5"/>
  <c r="CY88" i="5"/>
  <c r="CZ88" i="5"/>
  <c r="DA88" i="5"/>
  <c r="CW89" i="5"/>
  <c r="CX89" i="5"/>
  <c r="CY89" i="5"/>
  <c r="CZ89" i="5"/>
  <c r="DA89" i="5"/>
  <c r="CW90" i="5"/>
  <c r="CX90" i="5"/>
  <c r="CY90" i="5"/>
  <c r="CZ90" i="5"/>
  <c r="DA90" i="5"/>
  <c r="CW91" i="5"/>
  <c r="CX91" i="5"/>
  <c r="CY91" i="5"/>
  <c r="CZ91" i="5"/>
  <c r="DA91" i="5"/>
  <c r="CW92" i="5"/>
  <c r="CX92" i="5"/>
  <c r="CY92" i="5"/>
  <c r="CZ92" i="5"/>
  <c r="DA92" i="5"/>
  <c r="CW93" i="5"/>
  <c r="CX93" i="5"/>
  <c r="CY93" i="5"/>
  <c r="CZ93" i="5"/>
  <c r="DA93" i="5"/>
  <c r="CW94" i="5"/>
  <c r="CX94" i="5"/>
  <c r="CY94" i="5"/>
  <c r="CZ94" i="5"/>
  <c r="DA94" i="5"/>
  <c r="CW95" i="5"/>
  <c r="CX95" i="5"/>
  <c r="CY95" i="5"/>
  <c r="CZ95" i="5"/>
  <c r="DA95" i="5"/>
  <c r="CW96" i="5"/>
  <c r="CX96" i="5"/>
  <c r="CY96" i="5"/>
  <c r="CZ96" i="5"/>
  <c r="DA96" i="5"/>
  <c r="CW97" i="5"/>
  <c r="CX97" i="5"/>
  <c r="CY97" i="5"/>
  <c r="CZ97" i="5"/>
  <c r="DA97" i="5"/>
  <c r="CW98" i="5"/>
  <c r="CX98" i="5"/>
  <c r="CY98" i="5"/>
  <c r="CZ98" i="5"/>
  <c r="DA98" i="5"/>
  <c r="CW99" i="5"/>
  <c r="CX99" i="5"/>
  <c r="CY99" i="5"/>
  <c r="CZ99" i="5"/>
  <c r="DA99" i="5"/>
  <c r="CW100" i="5"/>
  <c r="CX100" i="5"/>
  <c r="CY100" i="5"/>
  <c r="CZ100" i="5"/>
  <c r="DA100" i="5"/>
  <c r="CW101" i="5"/>
  <c r="CX101" i="5"/>
  <c r="CY101" i="5"/>
  <c r="CZ101" i="5"/>
  <c r="DA101" i="5"/>
  <c r="CW102" i="5"/>
  <c r="CX102" i="5"/>
  <c r="CY102" i="5"/>
  <c r="CZ102" i="5"/>
  <c r="DA102" i="5"/>
  <c r="CW103" i="5"/>
  <c r="CX103" i="5"/>
  <c r="CY103" i="5"/>
  <c r="CZ103" i="5"/>
  <c r="DA103" i="5"/>
  <c r="CW104" i="5"/>
  <c r="CX104" i="5"/>
  <c r="CY104" i="5"/>
  <c r="CZ104" i="5"/>
  <c r="DA104" i="5"/>
  <c r="CW105" i="5"/>
  <c r="CX105" i="5"/>
  <c r="CY105" i="5"/>
  <c r="CZ105" i="5"/>
  <c r="DA105" i="5"/>
  <c r="CW106" i="5"/>
  <c r="CX106" i="5"/>
  <c r="CY106" i="5"/>
  <c r="CZ106" i="5"/>
  <c r="DA106" i="5"/>
  <c r="CW107" i="5"/>
  <c r="CX107" i="5"/>
  <c r="CY107" i="5"/>
  <c r="CZ107" i="5"/>
  <c r="DA107" i="5"/>
  <c r="CW108" i="5"/>
  <c r="CX108" i="5"/>
  <c r="CY108" i="5"/>
  <c r="CZ108" i="5"/>
  <c r="DA108" i="5"/>
  <c r="CW109" i="5"/>
  <c r="CX109" i="5"/>
  <c r="CY109" i="5"/>
  <c r="CZ109" i="5"/>
  <c r="DA109" i="5"/>
  <c r="CW110" i="5"/>
  <c r="CX110" i="5"/>
  <c r="CY110" i="5"/>
  <c r="CZ110" i="5"/>
  <c r="DA110" i="5"/>
  <c r="CW111" i="5"/>
  <c r="CX111" i="5"/>
  <c r="CY111" i="5"/>
  <c r="CZ111" i="5"/>
  <c r="DA111" i="5"/>
  <c r="CW112" i="5"/>
  <c r="CX112" i="5"/>
  <c r="CY112" i="5"/>
  <c r="CZ112" i="5"/>
  <c r="DA112" i="5"/>
  <c r="CW113" i="5"/>
  <c r="CX113" i="5"/>
  <c r="CY113" i="5"/>
  <c r="CZ113" i="5"/>
  <c r="DA113" i="5"/>
  <c r="CW114" i="5"/>
  <c r="CX114" i="5"/>
  <c r="CY114" i="5"/>
  <c r="CZ114" i="5"/>
  <c r="DA114" i="5"/>
  <c r="CW115" i="5"/>
  <c r="CX115" i="5"/>
  <c r="CY115" i="5"/>
  <c r="CZ115" i="5"/>
  <c r="DA115" i="5"/>
  <c r="CW116" i="5"/>
  <c r="CX116" i="5"/>
  <c r="CY116" i="5"/>
  <c r="CZ116" i="5"/>
  <c r="DA116" i="5"/>
  <c r="CW117" i="5"/>
  <c r="CX117" i="5"/>
  <c r="CY117" i="5"/>
  <c r="CZ117" i="5"/>
  <c r="DA117" i="5"/>
  <c r="CW118" i="5"/>
  <c r="CX118" i="5"/>
  <c r="CY118" i="5"/>
  <c r="CZ118" i="5"/>
  <c r="DA118" i="5"/>
  <c r="CW119" i="5"/>
  <c r="CX119" i="5"/>
  <c r="CY119" i="5"/>
  <c r="CZ119" i="5"/>
  <c r="DA119" i="5"/>
  <c r="CW120" i="5"/>
  <c r="CX120" i="5"/>
  <c r="CY120" i="5"/>
  <c r="CZ120" i="5"/>
  <c r="DA120" i="5"/>
  <c r="CW121" i="5"/>
  <c r="CX121" i="5"/>
  <c r="CY121" i="5"/>
  <c r="CZ121" i="5"/>
  <c r="DA121" i="5"/>
  <c r="CW122" i="5"/>
  <c r="CX122" i="5"/>
  <c r="CY122" i="5"/>
  <c r="CZ122" i="5"/>
  <c r="DA122" i="5"/>
  <c r="CW123" i="5"/>
  <c r="CX123" i="5"/>
  <c r="CY123" i="5"/>
  <c r="CZ123" i="5"/>
  <c r="DA123" i="5"/>
  <c r="CW124" i="5"/>
  <c r="CX124" i="5"/>
  <c r="CY124" i="5"/>
  <c r="CZ124" i="5"/>
  <c r="DA124" i="5"/>
  <c r="CW125" i="5"/>
  <c r="CX125" i="5"/>
  <c r="CY125" i="5"/>
  <c r="CZ125" i="5"/>
  <c r="DA125" i="5"/>
  <c r="CW126" i="5"/>
  <c r="CX126" i="5"/>
  <c r="CY126" i="5"/>
  <c r="CZ126" i="5"/>
  <c r="DA126" i="5"/>
  <c r="CW127" i="5"/>
  <c r="CX127" i="5"/>
  <c r="CY127" i="5"/>
  <c r="CZ127" i="5"/>
  <c r="DA127" i="5"/>
  <c r="CW128" i="5"/>
  <c r="CX128" i="5"/>
  <c r="CY128" i="5"/>
  <c r="CZ128" i="5"/>
  <c r="DA128" i="5"/>
  <c r="CW129" i="5"/>
  <c r="CX129" i="5"/>
  <c r="CY129" i="5"/>
  <c r="CZ129" i="5"/>
  <c r="DA129" i="5"/>
  <c r="CW130" i="5"/>
  <c r="CX130" i="5"/>
  <c r="CY130" i="5"/>
  <c r="CZ130" i="5"/>
  <c r="DA130" i="5"/>
  <c r="CW131" i="5"/>
  <c r="CX131" i="5"/>
  <c r="CY131" i="5"/>
  <c r="CZ131" i="5"/>
  <c r="DA131" i="5"/>
  <c r="CW132" i="5"/>
  <c r="CX132" i="5"/>
  <c r="CY132" i="5"/>
  <c r="CZ132" i="5"/>
  <c r="DA132" i="5"/>
  <c r="CW133" i="5"/>
  <c r="CX133" i="5"/>
  <c r="CY133" i="5"/>
  <c r="CZ133" i="5"/>
  <c r="DA133" i="5"/>
  <c r="CW134" i="5"/>
  <c r="CX134" i="5"/>
  <c r="CY134" i="5"/>
  <c r="CZ134" i="5"/>
  <c r="DA134" i="5"/>
  <c r="CW135" i="5"/>
  <c r="CX135" i="5"/>
  <c r="CY135" i="5"/>
  <c r="CZ135" i="5"/>
  <c r="DA135" i="5"/>
  <c r="CW136" i="5"/>
  <c r="CX136" i="5"/>
  <c r="CY136" i="5"/>
  <c r="CZ136" i="5"/>
  <c r="DA136" i="5"/>
  <c r="CW137" i="5"/>
  <c r="CX137" i="5"/>
  <c r="CY137" i="5"/>
  <c r="CZ137" i="5"/>
  <c r="DA137" i="5"/>
  <c r="CW138" i="5"/>
  <c r="CX138" i="5"/>
  <c r="CY138" i="5"/>
  <c r="CZ138" i="5"/>
  <c r="DA138" i="5"/>
  <c r="CW139" i="5"/>
  <c r="CX139" i="5"/>
  <c r="CY139" i="5"/>
  <c r="CZ139" i="5"/>
  <c r="DA139" i="5"/>
  <c r="CW140" i="5"/>
  <c r="CX140" i="5"/>
  <c r="CY140" i="5"/>
  <c r="CZ140" i="5"/>
  <c r="DA140" i="5"/>
  <c r="CW141" i="5"/>
  <c r="CX141" i="5"/>
  <c r="CY141" i="5"/>
  <c r="CZ141" i="5"/>
  <c r="DA141" i="5"/>
  <c r="CW142" i="5"/>
  <c r="CX142" i="5"/>
  <c r="CY142" i="5"/>
  <c r="CZ142" i="5"/>
  <c r="DA142" i="5"/>
  <c r="CW143" i="5"/>
  <c r="CX143" i="5"/>
  <c r="CY143" i="5"/>
  <c r="CZ143" i="5"/>
  <c r="DA143" i="5"/>
  <c r="CW144" i="5"/>
  <c r="CX144" i="5"/>
  <c r="CY144" i="5"/>
  <c r="CZ144" i="5"/>
  <c r="DA144" i="5"/>
  <c r="CW145" i="5"/>
  <c r="CX145" i="5"/>
  <c r="CY145" i="5"/>
  <c r="CZ145" i="5"/>
  <c r="DA145" i="5"/>
  <c r="CW146" i="5"/>
  <c r="CX146" i="5"/>
  <c r="CY146" i="5"/>
  <c r="CZ146" i="5"/>
  <c r="DA146" i="5"/>
  <c r="CW147" i="5"/>
  <c r="CX147" i="5"/>
  <c r="CY147" i="5"/>
  <c r="CZ147" i="5"/>
  <c r="DA147" i="5"/>
  <c r="CW148" i="5"/>
  <c r="CX148" i="5"/>
  <c r="CY148" i="5"/>
  <c r="CZ148" i="5"/>
  <c r="DA148" i="5"/>
  <c r="CW149" i="5"/>
  <c r="CX149" i="5"/>
  <c r="CY149" i="5"/>
  <c r="CZ149" i="5"/>
  <c r="DA149" i="5"/>
  <c r="CW150" i="5"/>
  <c r="CX150" i="5"/>
  <c r="CY150" i="5"/>
  <c r="CZ150" i="5"/>
  <c r="DA150" i="5"/>
  <c r="CW151" i="5"/>
  <c r="CX151" i="5"/>
  <c r="CY151" i="5"/>
  <c r="CZ151" i="5"/>
  <c r="DA151" i="5"/>
  <c r="CW152" i="5"/>
  <c r="CX152" i="5"/>
  <c r="CY152" i="5"/>
  <c r="CZ152" i="5"/>
  <c r="DA152" i="5"/>
  <c r="CW153" i="5"/>
  <c r="CX153" i="5"/>
  <c r="CY153" i="5"/>
  <c r="CZ153" i="5"/>
  <c r="DA153" i="5"/>
  <c r="CW154" i="5"/>
  <c r="CX154" i="5"/>
  <c r="CY154" i="5"/>
  <c r="CZ154" i="5"/>
  <c r="DA154" i="5"/>
  <c r="CW155" i="5"/>
  <c r="CX155" i="5"/>
  <c r="CY155" i="5"/>
  <c r="CZ155" i="5"/>
  <c r="DA155" i="5"/>
  <c r="CW156" i="5"/>
  <c r="CX156" i="5"/>
  <c r="CY156" i="5"/>
  <c r="CZ156" i="5"/>
  <c r="DA156" i="5"/>
  <c r="CW157" i="5"/>
  <c r="CX157" i="5"/>
  <c r="CY157" i="5"/>
  <c r="CZ157" i="5"/>
  <c r="DA157" i="5"/>
  <c r="CW158" i="5"/>
  <c r="CX158" i="5"/>
  <c r="CY158" i="5"/>
  <c r="CZ158" i="5"/>
  <c r="DA158" i="5"/>
  <c r="CW159" i="5"/>
  <c r="CX159" i="5"/>
  <c r="CY159" i="5"/>
  <c r="CZ159" i="5"/>
  <c r="DA159" i="5"/>
  <c r="CW160" i="5"/>
  <c r="CX160" i="5"/>
  <c r="CY160" i="5"/>
  <c r="CZ160" i="5"/>
  <c r="DA160" i="5"/>
  <c r="CW161" i="5"/>
  <c r="CX161" i="5"/>
  <c r="CY161" i="5"/>
  <c r="CZ161" i="5"/>
  <c r="DA161" i="5"/>
  <c r="CW162" i="5"/>
  <c r="CX162" i="5"/>
  <c r="CY162" i="5"/>
  <c r="CZ162" i="5"/>
  <c r="DA162" i="5"/>
  <c r="CW163" i="5"/>
  <c r="CX163" i="5"/>
  <c r="CY163" i="5"/>
  <c r="CZ163" i="5"/>
  <c r="DA163" i="5"/>
  <c r="CW164" i="5"/>
  <c r="CX164" i="5"/>
  <c r="CY164" i="5"/>
  <c r="CZ164" i="5"/>
  <c r="DA164" i="5"/>
  <c r="CW165" i="5"/>
  <c r="CX165" i="5"/>
  <c r="CY165" i="5"/>
  <c r="CZ165" i="5"/>
  <c r="DA165" i="5"/>
  <c r="CW166" i="5"/>
  <c r="CX166" i="5"/>
  <c r="CY166" i="5"/>
  <c r="CZ166" i="5"/>
  <c r="DA166" i="5"/>
  <c r="CW167" i="5"/>
  <c r="CX167" i="5"/>
  <c r="CY167" i="5"/>
  <c r="CZ167" i="5"/>
  <c r="DA167" i="5"/>
  <c r="CW168" i="5"/>
  <c r="CX168" i="5"/>
  <c r="CY168" i="5"/>
  <c r="CZ168" i="5"/>
  <c r="DA168" i="5"/>
  <c r="CW169" i="5"/>
  <c r="CX169" i="5"/>
  <c r="CY169" i="5"/>
  <c r="CZ169" i="5"/>
  <c r="DA169" i="5"/>
  <c r="CW170" i="5"/>
  <c r="CX170" i="5"/>
  <c r="CY170" i="5"/>
  <c r="CZ170" i="5"/>
  <c r="DA170" i="5"/>
  <c r="CW171" i="5"/>
  <c r="CX171" i="5"/>
  <c r="CY171" i="5"/>
  <c r="CZ171" i="5"/>
  <c r="DA171" i="5"/>
  <c r="CW172" i="5"/>
  <c r="CX172" i="5"/>
  <c r="CY172" i="5"/>
  <c r="CZ172" i="5"/>
  <c r="DA172" i="5"/>
  <c r="CW173" i="5"/>
  <c r="CX173" i="5"/>
  <c r="CY173" i="5"/>
  <c r="CZ173" i="5"/>
  <c r="DA173" i="5"/>
  <c r="CW174" i="5"/>
  <c r="CX174" i="5"/>
  <c r="CY174" i="5"/>
  <c r="CZ174" i="5"/>
  <c r="DA174" i="5"/>
  <c r="CW175" i="5"/>
  <c r="CX175" i="5"/>
  <c r="CY175" i="5"/>
  <c r="CZ175" i="5"/>
  <c r="DA175" i="5"/>
  <c r="CW176" i="5"/>
  <c r="CX176" i="5"/>
  <c r="CY176" i="5"/>
  <c r="CZ176" i="5"/>
  <c r="DA176" i="5"/>
  <c r="CW177" i="5"/>
  <c r="CX177" i="5"/>
  <c r="CY177" i="5"/>
  <c r="CZ177" i="5"/>
  <c r="DA177" i="5"/>
  <c r="CW178" i="5"/>
  <c r="CX178" i="5"/>
  <c r="CY178" i="5"/>
  <c r="CZ178" i="5"/>
  <c r="DA178" i="5"/>
  <c r="CW179" i="5"/>
  <c r="CX179" i="5"/>
  <c r="CY179" i="5"/>
  <c r="CZ179" i="5"/>
  <c r="DA179" i="5"/>
  <c r="CW180" i="5"/>
  <c r="CX180" i="5"/>
  <c r="CY180" i="5"/>
  <c r="CZ180" i="5"/>
  <c r="DA180" i="5"/>
  <c r="CW181" i="5"/>
  <c r="CX181" i="5"/>
  <c r="CY181" i="5"/>
  <c r="CZ181" i="5"/>
  <c r="DA181" i="5"/>
  <c r="CW182" i="5"/>
  <c r="CX182" i="5"/>
  <c r="CY182" i="5"/>
  <c r="CZ182" i="5"/>
  <c r="DA182" i="5"/>
  <c r="CW183" i="5"/>
  <c r="CX183" i="5"/>
  <c r="CY183" i="5"/>
  <c r="CZ183" i="5"/>
  <c r="DA183" i="5"/>
  <c r="CW184" i="5"/>
  <c r="CX184" i="5"/>
  <c r="CY184" i="5"/>
  <c r="CZ184" i="5"/>
  <c r="DA184" i="5"/>
  <c r="CW185" i="5"/>
  <c r="CX185" i="5"/>
  <c r="CY185" i="5"/>
  <c r="CZ185" i="5"/>
  <c r="DA185" i="5"/>
  <c r="CW186" i="5"/>
  <c r="CX186" i="5"/>
  <c r="CY186" i="5"/>
  <c r="CZ186" i="5"/>
  <c r="DA186" i="5"/>
  <c r="CW187" i="5"/>
  <c r="CX187" i="5"/>
  <c r="CY187" i="5"/>
  <c r="CZ187" i="5"/>
  <c r="DA187" i="5"/>
  <c r="CW188" i="5"/>
  <c r="CX188" i="5"/>
  <c r="CY188" i="5"/>
  <c r="CZ188" i="5"/>
  <c r="DA188" i="5"/>
  <c r="DA2" i="5"/>
  <c r="CY2" i="5"/>
  <c r="CU189" i="5"/>
  <c r="CZ2" i="5"/>
  <c r="CX2" i="5"/>
  <c r="CW2" i="5"/>
  <c r="CT130" i="5" l="1"/>
  <c r="E189" i="5"/>
  <c r="D189" i="5"/>
  <c r="F189" i="5"/>
  <c r="G189" i="5"/>
  <c r="H189" i="5"/>
  <c r="I189" i="5"/>
  <c r="J189" i="5"/>
  <c r="K189" i="5"/>
  <c r="L189" i="5"/>
  <c r="M189" i="5"/>
  <c r="N189" i="5"/>
  <c r="O189" i="5"/>
  <c r="P189" i="5"/>
  <c r="Q189" i="5"/>
  <c r="R189" i="5"/>
  <c r="S189" i="5"/>
  <c r="T189" i="5"/>
  <c r="U189" i="5"/>
  <c r="V189" i="5"/>
  <c r="W189" i="5"/>
  <c r="X189" i="5"/>
  <c r="Y189" i="5"/>
  <c r="Z189" i="5"/>
  <c r="AA189" i="5"/>
  <c r="AB189" i="5"/>
  <c r="AC189" i="5"/>
  <c r="AD189" i="5"/>
  <c r="AE189" i="5"/>
  <c r="AF189" i="5"/>
  <c r="AG189" i="5"/>
  <c r="AH189" i="5"/>
  <c r="AI189" i="5"/>
  <c r="AJ189" i="5"/>
  <c r="AK189" i="5"/>
  <c r="AL189" i="5"/>
  <c r="AM189" i="5"/>
  <c r="AN189" i="5"/>
  <c r="AO189" i="5"/>
  <c r="AP189" i="5"/>
  <c r="AQ189" i="5"/>
  <c r="AR189" i="5"/>
  <c r="AS189" i="5"/>
  <c r="AT189" i="5"/>
  <c r="AU189" i="5"/>
  <c r="AV189" i="5"/>
  <c r="AW189" i="5"/>
  <c r="AX189" i="5"/>
  <c r="AY189" i="5"/>
  <c r="AZ189" i="5"/>
  <c r="BA189" i="5"/>
  <c r="BB189" i="5"/>
  <c r="BC189" i="5"/>
  <c r="BD189" i="5"/>
  <c r="BE189" i="5"/>
  <c r="BF189" i="5"/>
  <c r="BG189" i="5"/>
  <c r="BH189" i="5"/>
  <c r="BI189" i="5"/>
  <c r="BJ189" i="5"/>
  <c r="BK189" i="5"/>
  <c r="BL189" i="5"/>
  <c r="BM189" i="5"/>
  <c r="BN189" i="5"/>
  <c r="BO189" i="5"/>
  <c r="BP189" i="5"/>
  <c r="BQ189" i="5"/>
  <c r="BR189" i="5"/>
  <c r="BS189" i="5"/>
  <c r="BT189" i="5"/>
  <c r="BU189" i="5"/>
  <c r="BV189" i="5"/>
  <c r="BW189" i="5"/>
  <c r="BX189" i="5"/>
  <c r="BY189" i="5"/>
  <c r="BZ189" i="5"/>
  <c r="CA189" i="5"/>
  <c r="CB189" i="5"/>
  <c r="CC189" i="5"/>
  <c r="CD189" i="5"/>
  <c r="CE189" i="5"/>
  <c r="CF189" i="5"/>
  <c r="CG189" i="5"/>
  <c r="CH189" i="5"/>
  <c r="CI189" i="5"/>
  <c r="CJ189" i="5"/>
  <c r="CK189" i="5"/>
  <c r="CL189" i="5"/>
  <c r="CM189" i="5"/>
  <c r="CN189" i="5"/>
  <c r="CO189" i="5"/>
  <c r="CP189" i="5"/>
  <c r="CQ189" i="5"/>
  <c r="CR189" i="5"/>
  <c r="CS189" i="5"/>
  <c r="AL42" i="6" l="1"/>
  <c r="AL19" i="6"/>
  <c r="AL43" i="6"/>
  <c r="AL31" i="6"/>
  <c r="AL44" i="6"/>
  <c r="AL20" i="6"/>
  <c r="AL45" i="6"/>
  <c r="AL46" i="6"/>
  <c r="AL33" i="6"/>
  <c r="AL17" i="6"/>
  <c r="AL69" i="6"/>
  <c r="AL58" i="6"/>
  <c r="AL5" i="6"/>
  <c r="AL67" i="6"/>
  <c r="AL13" i="6"/>
  <c r="AL73" i="6"/>
  <c r="AL4" i="6"/>
  <c r="AL29" i="6"/>
  <c r="AL10" i="6"/>
  <c r="AL70" i="6"/>
  <c r="AL47" i="6"/>
  <c r="AL66" i="6"/>
  <c r="AL11" i="6"/>
  <c r="AL18" i="6"/>
  <c r="AL38" i="6"/>
  <c r="AL27" i="6"/>
  <c r="AL71" i="6"/>
  <c r="AL34" i="6"/>
  <c r="AL16" i="6"/>
  <c r="AL24" i="6"/>
  <c r="AL48" i="6"/>
  <c r="AL7" i="6"/>
  <c r="AL30" i="6"/>
  <c r="AL49" i="6"/>
  <c r="AL21" i="6"/>
  <c r="AL61" i="6"/>
  <c r="AL26" i="6"/>
  <c r="AL72" i="6"/>
  <c r="AL12" i="6"/>
  <c r="AL22" i="6"/>
  <c r="AL35" i="6"/>
  <c r="AL62" i="6"/>
  <c r="AL65" i="6"/>
  <c r="AL68" i="6"/>
  <c r="AL50" i="6"/>
  <c r="AL51" i="6"/>
  <c r="AL8" i="6"/>
  <c r="AL28" i="6"/>
  <c r="AL39" i="6"/>
  <c r="AL14" i="6"/>
  <c r="AL63" i="6"/>
  <c r="AL52" i="6"/>
  <c r="AL53" i="6"/>
  <c r="AL9" i="6"/>
  <c r="AL25" i="6"/>
  <c r="AL40" i="6"/>
  <c r="AL23" i="6"/>
  <c r="AL15" i="6"/>
  <c r="AL54" i="6"/>
  <c r="AL36" i="6"/>
  <c r="AL64" i="6"/>
  <c r="AL59" i="6"/>
  <c r="AL2" i="6"/>
  <c r="AL55" i="6"/>
  <c r="AL3" i="6"/>
  <c r="AL32" i="6"/>
  <c r="AL56" i="6"/>
  <c r="AL57" i="6"/>
  <c r="AL37" i="6"/>
  <c r="AL60" i="6"/>
  <c r="AL6" i="6"/>
  <c r="AM42" i="6"/>
  <c r="AM19" i="6"/>
  <c r="AM43" i="6"/>
  <c r="AM31" i="6"/>
  <c r="AM44" i="6"/>
  <c r="AM20" i="6"/>
  <c r="AM45" i="6"/>
  <c r="AM46" i="6"/>
  <c r="AM33" i="6"/>
  <c r="AM17" i="6"/>
  <c r="AM69" i="6"/>
  <c r="AM58" i="6"/>
  <c r="AM5" i="6"/>
  <c r="AM67" i="6"/>
  <c r="AM13" i="6"/>
  <c r="AM73" i="6"/>
  <c r="AM4" i="6"/>
  <c r="AM29" i="6"/>
  <c r="AM10" i="6"/>
  <c r="AM70" i="6"/>
  <c r="AM47" i="6"/>
  <c r="AM66" i="6"/>
  <c r="AM11" i="6"/>
  <c r="AM18" i="6"/>
  <c r="AM38" i="6"/>
  <c r="AM27" i="6"/>
  <c r="AM71" i="6"/>
  <c r="AM34" i="6"/>
  <c r="AM16" i="6"/>
  <c r="AM24" i="6"/>
  <c r="AM48" i="6"/>
  <c r="AM7" i="6"/>
  <c r="AM30" i="6"/>
  <c r="AM49" i="6"/>
  <c r="AM21" i="6"/>
  <c r="AM61" i="6"/>
  <c r="AM26" i="6"/>
  <c r="AM72" i="6"/>
  <c r="AM12" i="6"/>
  <c r="AM22" i="6"/>
  <c r="AM35" i="6"/>
  <c r="AM62" i="6"/>
  <c r="AM65" i="6"/>
  <c r="AM68" i="6"/>
  <c r="AM50" i="6"/>
  <c r="AM51" i="6"/>
  <c r="AM8" i="6"/>
  <c r="AM28" i="6"/>
  <c r="AM39" i="6"/>
  <c r="AM14" i="6"/>
  <c r="AM63" i="6"/>
  <c r="AM52" i="6"/>
  <c r="AM53" i="6"/>
  <c r="AM9" i="6"/>
  <c r="AM25" i="6"/>
  <c r="AM40" i="6"/>
  <c r="AM23" i="6"/>
  <c r="AM15" i="6"/>
  <c r="AM54" i="6"/>
  <c r="AM36" i="6"/>
  <c r="AM64" i="6"/>
  <c r="AM59" i="6"/>
  <c r="AM2" i="6"/>
  <c r="AM55" i="6"/>
  <c r="AM3" i="6"/>
  <c r="AM32" i="6"/>
  <c r="AM56" i="6"/>
  <c r="AM57" i="6"/>
  <c r="AM37" i="6"/>
  <c r="AM60" i="6"/>
  <c r="AM6" i="6"/>
  <c r="AN42" i="6"/>
  <c r="AN19" i="6"/>
  <c r="AN43" i="6"/>
  <c r="AN31" i="6"/>
  <c r="AN44" i="6"/>
  <c r="AN20" i="6"/>
  <c r="AN45" i="6"/>
  <c r="AN46" i="6"/>
  <c r="AN33" i="6"/>
  <c r="AN17" i="6"/>
  <c r="AN69" i="6"/>
  <c r="AN58" i="6"/>
  <c r="AN5" i="6"/>
  <c r="AN67" i="6"/>
  <c r="AN13" i="6"/>
  <c r="AN73" i="6"/>
  <c r="AN4" i="6"/>
  <c r="AN29" i="6"/>
  <c r="AN10" i="6"/>
  <c r="AN70" i="6"/>
  <c r="AN47" i="6"/>
  <c r="AN66" i="6"/>
  <c r="AN11" i="6"/>
  <c r="AN18" i="6"/>
  <c r="AN38" i="6"/>
  <c r="AN27" i="6"/>
  <c r="AN71" i="6"/>
  <c r="AN34" i="6"/>
  <c r="AN16" i="6"/>
  <c r="AN24" i="6"/>
  <c r="AN48" i="6"/>
  <c r="AN7" i="6"/>
  <c r="AN30" i="6"/>
  <c r="AN49" i="6"/>
  <c r="AN21" i="6"/>
  <c r="AN61" i="6"/>
  <c r="AN26" i="6"/>
  <c r="AN72" i="6"/>
  <c r="AN12" i="6"/>
  <c r="AN22" i="6"/>
  <c r="AN35" i="6"/>
  <c r="AN62" i="6"/>
  <c r="AN65" i="6"/>
  <c r="AN68" i="6"/>
  <c r="AN50" i="6"/>
  <c r="AN51" i="6"/>
  <c r="AN8" i="6"/>
  <c r="AN28" i="6"/>
  <c r="AN39" i="6"/>
  <c r="AN14" i="6"/>
  <c r="AN63" i="6"/>
  <c r="AN52" i="6"/>
  <c r="AN53" i="6"/>
  <c r="AN9" i="6"/>
  <c r="AN25" i="6"/>
  <c r="AN40" i="6"/>
  <c r="AN23" i="6"/>
  <c r="AN15" i="6"/>
  <c r="AN54" i="6"/>
  <c r="AN36" i="6"/>
  <c r="AN64" i="6"/>
  <c r="AN59" i="6"/>
  <c r="AN2" i="6"/>
  <c r="AN55" i="6"/>
  <c r="AN3" i="6"/>
  <c r="AN32" i="6"/>
  <c r="AN56" i="6"/>
  <c r="AN57" i="6"/>
  <c r="AN37" i="6"/>
  <c r="AN60" i="6"/>
  <c r="AN6" i="6"/>
  <c r="AN41" i="6"/>
  <c r="AO42" i="6"/>
  <c r="AO19" i="6"/>
  <c r="AO43" i="6"/>
  <c r="AO31" i="6"/>
  <c r="AO44" i="6"/>
  <c r="AO20" i="6"/>
  <c r="AO45" i="6"/>
  <c r="AO46" i="6"/>
  <c r="AO33" i="6"/>
  <c r="AO17" i="6"/>
  <c r="AO69" i="6"/>
  <c r="AO58" i="6"/>
  <c r="AO5" i="6"/>
  <c r="AO67" i="6"/>
  <c r="AO13" i="6"/>
  <c r="AO73" i="6"/>
  <c r="AO4" i="6"/>
  <c r="AO29" i="6"/>
  <c r="AO10" i="6"/>
  <c r="AO70" i="6"/>
  <c r="AO47" i="6"/>
  <c r="AO66" i="6"/>
  <c r="AO11" i="6"/>
  <c r="AO18" i="6"/>
  <c r="AO38" i="6"/>
  <c r="AO27" i="6"/>
  <c r="AO71" i="6"/>
  <c r="AO34" i="6"/>
  <c r="AO16" i="6"/>
  <c r="AO24" i="6"/>
  <c r="AO48" i="6"/>
  <c r="AO7" i="6"/>
  <c r="AO30" i="6"/>
  <c r="AO49" i="6"/>
  <c r="AO21" i="6"/>
  <c r="AO61" i="6"/>
  <c r="AO26" i="6"/>
  <c r="AO72" i="6"/>
  <c r="AO12" i="6"/>
  <c r="AO22" i="6"/>
  <c r="AO35" i="6"/>
  <c r="AO62" i="6"/>
  <c r="AO65" i="6"/>
  <c r="AO68" i="6"/>
  <c r="AO50" i="6"/>
  <c r="AO51" i="6"/>
  <c r="AO8" i="6"/>
  <c r="AO28" i="6"/>
  <c r="AO39" i="6"/>
  <c r="AO14" i="6"/>
  <c r="AO63" i="6"/>
  <c r="AO52" i="6"/>
  <c r="AO53" i="6"/>
  <c r="AO9" i="6"/>
  <c r="AO25" i="6"/>
  <c r="AO40" i="6"/>
  <c r="AO23" i="6"/>
  <c r="AO15" i="6"/>
  <c r="AO54" i="6"/>
  <c r="AO36" i="6"/>
  <c r="AO64" i="6"/>
  <c r="AO59" i="6"/>
  <c r="AO2" i="6"/>
  <c r="AO55" i="6"/>
  <c r="AO3" i="6"/>
  <c r="AO32" i="6"/>
  <c r="AO56" i="6"/>
  <c r="AO57" i="6"/>
  <c r="AO37" i="6"/>
  <c r="AO60" i="6"/>
  <c r="AO6" i="6"/>
  <c r="AO41" i="6"/>
  <c r="AM41" i="6"/>
  <c r="AL41" i="6"/>
  <c r="AK42" i="6"/>
  <c r="AK19" i="6"/>
  <c r="AK43" i="6"/>
  <c r="AK31" i="6"/>
  <c r="AK44" i="6"/>
  <c r="AK20" i="6"/>
  <c r="AK45" i="6"/>
  <c r="AK46" i="6"/>
  <c r="AK33" i="6"/>
  <c r="AK17" i="6"/>
  <c r="AK69" i="6"/>
  <c r="AK58" i="6"/>
  <c r="AK5" i="6"/>
  <c r="AK67" i="6"/>
  <c r="AK13" i="6"/>
  <c r="AK73" i="6"/>
  <c r="AK4" i="6"/>
  <c r="AK29" i="6"/>
  <c r="AK10" i="6"/>
  <c r="AK70" i="6"/>
  <c r="AK47" i="6"/>
  <c r="AK66" i="6"/>
  <c r="AK11" i="6"/>
  <c r="AK18" i="6"/>
  <c r="AK38" i="6"/>
  <c r="AK27" i="6"/>
  <c r="AK71" i="6"/>
  <c r="AK34" i="6"/>
  <c r="AK16" i="6"/>
  <c r="AK24" i="6"/>
  <c r="AK48" i="6"/>
  <c r="AK7" i="6"/>
  <c r="AK30" i="6"/>
  <c r="AK49" i="6"/>
  <c r="AK21" i="6"/>
  <c r="AK61" i="6"/>
  <c r="AK26" i="6"/>
  <c r="AK72" i="6"/>
  <c r="AK12" i="6"/>
  <c r="AK22" i="6"/>
  <c r="AK35" i="6"/>
  <c r="AK62" i="6"/>
  <c r="AK65" i="6"/>
  <c r="AK68" i="6"/>
  <c r="AK50" i="6"/>
  <c r="AK51" i="6"/>
  <c r="AK8" i="6"/>
  <c r="AK28" i="6"/>
  <c r="AK39" i="6"/>
  <c r="AK14" i="6"/>
  <c r="AK63" i="6"/>
  <c r="AK52" i="6"/>
  <c r="AK53" i="6"/>
  <c r="AK9" i="6"/>
  <c r="AK25" i="6"/>
  <c r="AK40" i="6"/>
  <c r="AK23" i="6"/>
  <c r="AK15" i="6"/>
  <c r="AK54" i="6"/>
  <c r="AK36" i="6"/>
  <c r="AK64" i="6"/>
  <c r="AK59" i="6"/>
  <c r="AK2" i="6"/>
  <c r="AK55" i="6"/>
  <c r="AK3" i="6"/>
  <c r="AK32" i="6"/>
  <c r="AK56" i="6"/>
  <c r="AK57" i="6"/>
  <c r="AK37" i="6"/>
  <c r="AK60" i="6"/>
  <c r="AK6" i="6"/>
  <c r="AK41" i="6"/>
  <c r="AJ42" i="6"/>
  <c r="AJ19" i="6"/>
  <c r="AJ43" i="6"/>
  <c r="AJ31" i="6"/>
  <c r="AJ44" i="6"/>
  <c r="AJ20" i="6"/>
  <c r="AJ45" i="6"/>
  <c r="AJ46" i="6"/>
  <c r="AJ33" i="6"/>
  <c r="AJ17" i="6"/>
  <c r="AJ69" i="6"/>
  <c r="AJ58" i="6"/>
  <c r="AJ5" i="6"/>
  <c r="AJ67" i="6"/>
  <c r="AJ13" i="6"/>
  <c r="AJ73" i="6"/>
  <c r="AJ4" i="6"/>
  <c r="AJ29" i="6"/>
  <c r="AJ10" i="6"/>
  <c r="AJ70" i="6"/>
  <c r="AJ47" i="6"/>
  <c r="AJ66" i="6"/>
  <c r="AJ11" i="6"/>
  <c r="AJ18" i="6"/>
  <c r="AJ38" i="6"/>
  <c r="AJ27" i="6"/>
  <c r="AJ71" i="6"/>
  <c r="AJ34" i="6"/>
  <c r="AJ16" i="6"/>
  <c r="AJ24" i="6"/>
  <c r="AJ48" i="6"/>
  <c r="AJ7" i="6"/>
  <c r="AJ30" i="6"/>
  <c r="AJ49" i="6"/>
  <c r="AJ21" i="6"/>
  <c r="AJ61" i="6"/>
  <c r="AJ26" i="6"/>
  <c r="AJ72" i="6"/>
  <c r="AJ12" i="6"/>
  <c r="AJ22" i="6"/>
  <c r="AJ35" i="6"/>
  <c r="AJ62" i="6"/>
  <c r="AJ65" i="6"/>
  <c r="AJ68" i="6"/>
  <c r="AJ50" i="6"/>
  <c r="AJ51" i="6"/>
  <c r="AJ8" i="6"/>
  <c r="AJ28" i="6"/>
  <c r="AJ39" i="6"/>
  <c r="AJ14" i="6"/>
  <c r="AJ63" i="6"/>
  <c r="AJ52" i="6"/>
  <c r="AJ53" i="6"/>
  <c r="AJ9" i="6"/>
  <c r="AJ25" i="6"/>
  <c r="AJ40" i="6"/>
  <c r="AJ23" i="6"/>
  <c r="AJ15" i="6"/>
  <c r="AJ54" i="6"/>
  <c r="AJ36" i="6"/>
  <c r="AJ64" i="6"/>
  <c r="AJ59" i="6"/>
  <c r="AJ2" i="6"/>
  <c r="AJ55" i="6"/>
  <c r="AJ3" i="6"/>
  <c r="AJ32" i="6"/>
  <c r="AJ56" i="6"/>
  <c r="AJ57" i="6"/>
  <c r="AJ37" i="6"/>
  <c r="AJ60" i="6"/>
  <c r="AJ6" i="6"/>
  <c r="AJ41" i="6"/>
  <c r="AN75" i="6" l="1"/>
  <c r="AJ75" i="6"/>
  <c r="AK75" i="6"/>
  <c r="AL75" i="6"/>
  <c r="AM75" i="6"/>
  <c r="AO75" i="6"/>
  <c r="CX189" i="5"/>
  <c r="CY189" i="5"/>
  <c r="DA189" i="5"/>
  <c r="CZ189" i="5"/>
  <c r="CW189" i="5"/>
  <c r="DB189" i="5"/>
  <c r="CT87" i="5"/>
  <c r="AF43" i="6"/>
  <c r="AF44" i="6"/>
  <c r="AF42" i="6"/>
  <c r="AF41" i="6"/>
  <c r="CT137" i="5"/>
  <c r="CT8" i="5"/>
  <c r="CT99" i="5"/>
  <c r="CT100" i="5"/>
  <c r="AF54" i="6"/>
  <c r="AF53" i="6"/>
  <c r="AF52" i="6"/>
  <c r="CT162" i="5"/>
  <c r="CT182" i="5"/>
  <c r="CT44" i="5"/>
  <c r="CT45" i="5"/>
  <c r="CT152" i="5"/>
  <c r="AF67" i="6"/>
  <c r="CT142" i="5"/>
  <c r="CT167" i="5"/>
  <c r="CT140" i="5"/>
  <c r="CT136" i="5"/>
  <c r="CT75" i="5"/>
  <c r="CT181" i="5"/>
  <c r="CT98" i="5"/>
  <c r="CT79" i="5"/>
  <c r="CT89" i="5"/>
  <c r="CT105" i="5"/>
  <c r="CT82" i="5"/>
  <c r="CT74" i="5"/>
  <c r="CT171" i="5"/>
  <c r="CT90" i="5"/>
  <c r="CT97" i="5"/>
  <c r="CT88" i="5"/>
  <c r="CT125" i="5"/>
  <c r="CT35" i="5"/>
  <c r="CT83" i="5"/>
  <c r="CT141" i="5"/>
  <c r="CT34" i="5"/>
  <c r="CT93" i="5"/>
  <c r="CT91" i="5"/>
  <c r="CT18" i="5"/>
  <c r="CT22" i="5"/>
  <c r="R4" i="1"/>
  <c r="R62" i="1"/>
  <c r="R16" i="1"/>
  <c r="CT19" i="5"/>
  <c r="CT21" i="5"/>
  <c r="CT188" i="5"/>
  <c r="CT17" i="5"/>
  <c r="CT4" i="5"/>
  <c r="CT63" i="5"/>
  <c r="CT20" i="5"/>
  <c r="CT47" i="5"/>
  <c r="CT184" i="5"/>
  <c r="CT28" i="5"/>
  <c r="CT185" i="5"/>
  <c r="CT48" i="5"/>
  <c r="CT81" i="5"/>
  <c r="CT127" i="5"/>
  <c r="CT43" i="5"/>
  <c r="CT15" i="5"/>
  <c r="CT133" i="5"/>
  <c r="CT13" i="5"/>
  <c r="CT84" i="5"/>
  <c r="CT14" i="5"/>
  <c r="AF72" i="6"/>
  <c r="AF73" i="6"/>
  <c r="AF2" i="6"/>
  <c r="AF3" i="6"/>
  <c r="AF68" i="6"/>
  <c r="AF38" i="6"/>
  <c r="AF39" i="6"/>
  <c r="AF40" i="6"/>
  <c r="AF25" i="6"/>
  <c r="AF16" i="6"/>
  <c r="AF27" i="6"/>
  <c r="AF26" i="6"/>
  <c r="AF55" i="6"/>
  <c r="AF20" i="6"/>
  <c r="AF15" i="6"/>
  <c r="AF64" i="6"/>
  <c r="AF14" i="6"/>
  <c r="AF24" i="6"/>
  <c r="AF4" i="6"/>
  <c r="AF57" i="6"/>
  <c r="AF58" i="6"/>
  <c r="AF70" i="6"/>
  <c r="AF28" i="6"/>
  <c r="AF6" i="6"/>
  <c r="AF48" i="6"/>
  <c r="AF30" i="6"/>
  <c r="AF65" i="6"/>
  <c r="AF69" i="6"/>
  <c r="AF66" i="6"/>
  <c r="AF19" i="6"/>
  <c r="AF17" i="6"/>
  <c r="AF18" i="6"/>
  <c r="AF63" i="6"/>
  <c r="AF8" i="6"/>
  <c r="AF9" i="6"/>
  <c r="AF37" i="6"/>
  <c r="AF7" i="6"/>
  <c r="AF31" i="6"/>
  <c r="AF32" i="6"/>
  <c r="AF23" i="6"/>
  <c r="AF71" i="6"/>
  <c r="AF62" i="6"/>
  <c r="AF22" i="6"/>
  <c r="AF21" i="6"/>
  <c r="AF11" i="6"/>
  <c r="AF29" i="6"/>
  <c r="AF5" i="6"/>
  <c r="AF10" i="6"/>
  <c r="AF12" i="6"/>
  <c r="AF13" i="6"/>
  <c r="AF47" i="6"/>
  <c r="AF46" i="6"/>
  <c r="AF49" i="6"/>
  <c r="AF34" i="6"/>
  <c r="AF35" i="6"/>
  <c r="AF36" i="6"/>
  <c r="AF59" i="6"/>
  <c r="AF60" i="6"/>
  <c r="AF61" i="6"/>
  <c r="AF45" i="6"/>
  <c r="AF33" i="6"/>
  <c r="AF56" i="6"/>
  <c r="AF51" i="6"/>
  <c r="AF50" i="6"/>
  <c r="CT9" i="5"/>
  <c r="CT132" i="5"/>
  <c r="CT40" i="5"/>
  <c r="CT59" i="5"/>
  <c r="CT101" i="5"/>
  <c r="CT72" i="5"/>
  <c r="CT151" i="5"/>
  <c r="CT124" i="5"/>
  <c r="CT123" i="5"/>
  <c r="CT122" i="5"/>
  <c r="CT163" i="5"/>
  <c r="CT95" i="5"/>
  <c r="CT180" i="5"/>
  <c r="CT118" i="5"/>
  <c r="CT119" i="5"/>
  <c r="CT114" i="5"/>
  <c r="CT168" i="5"/>
  <c r="CT54" i="5"/>
  <c r="CT138" i="5"/>
  <c r="CT117" i="5"/>
  <c r="CT187" i="5"/>
  <c r="CT145" i="5"/>
  <c r="CT144" i="5"/>
  <c r="CT113" i="5"/>
  <c r="CT139" i="5"/>
  <c r="CT146" i="5"/>
  <c r="CT147" i="5"/>
  <c r="CT186" i="5"/>
  <c r="CT143" i="5"/>
  <c r="CT108" i="5"/>
  <c r="CT115" i="5"/>
  <c r="CT116" i="5"/>
  <c r="CT112" i="5"/>
  <c r="CT111" i="5"/>
  <c r="CT165" i="5"/>
  <c r="CT161" i="5"/>
  <c r="CT110" i="5"/>
  <c r="CT2" i="5"/>
  <c r="CT109" i="5"/>
  <c r="CT71" i="5"/>
  <c r="CT154" i="5"/>
  <c r="CT31" i="5"/>
  <c r="CT86" i="5"/>
  <c r="CT128" i="5"/>
  <c r="CT57" i="5"/>
  <c r="CT39" i="5"/>
  <c r="CT129" i="5"/>
  <c r="CT25" i="5"/>
  <c r="CT11" i="5"/>
  <c r="CT80" i="5"/>
  <c r="CT58" i="5"/>
  <c r="CT176" i="5"/>
  <c r="CT178" i="5"/>
  <c r="CT177" i="5"/>
  <c r="CT179" i="5"/>
  <c r="CT10" i="5"/>
  <c r="CT104" i="5"/>
  <c r="CT6" i="5"/>
  <c r="CT5" i="5"/>
  <c r="CT37" i="5"/>
  <c r="CT153" i="5"/>
  <c r="CT66" i="5"/>
  <c r="CT96" i="5"/>
  <c r="CT24" i="5"/>
  <c r="CT94" i="5"/>
  <c r="CT29" i="5"/>
  <c r="CT102" i="5"/>
  <c r="CT49" i="5"/>
  <c r="CT107" i="5"/>
  <c r="CT27" i="5"/>
  <c r="CT126" i="5"/>
  <c r="CT159" i="5"/>
  <c r="CT41" i="5"/>
  <c r="CT30" i="5"/>
  <c r="CT134" i="5"/>
  <c r="CT23" i="5"/>
  <c r="CT68" i="5"/>
  <c r="CT55" i="5"/>
  <c r="CT103" i="5"/>
  <c r="CT36" i="5"/>
  <c r="CT3" i="5"/>
  <c r="CT42" i="5"/>
  <c r="CT60" i="5"/>
  <c r="CT32" i="5"/>
  <c r="CT50" i="5"/>
  <c r="CT158" i="5"/>
  <c r="CT174" i="5"/>
  <c r="CT53" i="5"/>
  <c r="CT183" i="5"/>
  <c r="CT170" i="5"/>
  <c r="CT67" i="5"/>
  <c r="CT106" i="5"/>
  <c r="CT172" i="5"/>
  <c r="CT33" i="5"/>
  <c r="CT148" i="5"/>
  <c r="CT149" i="5"/>
  <c r="CT150" i="5"/>
  <c r="CT121" i="5"/>
  <c r="CT120" i="5"/>
  <c r="CT164" i="5"/>
  <c r="CT61" i="5"/>
  <c r="CT62" i="5"/>
  <c r="CT52" i="5"/>
  <c r="CT51" i="5"/>
  <c r="CT70" i="5"/>
  <c r="CT16" i="5"/>
  <c r="CT166" i="5"/>
  <c r="CT169" i="5"/>
  <c r="CT73" i="5"/>
  <c r="CT7" i="5"/>
  <c r="CT85" i="5"/>
  <c r="CT175" i="5"/>
  <c r="CT92" i="5"/>
  <c r="CT46" i="5"/>
  <c r="CT64" i="5"/>
  <c r="CT157" i="5"/>
  <c r="CT65" i="5"/>
  <c r="CT135" i="5"/>
  <c r="CT12" i="5"/>
  <c r="CT38" i="5"/>
  <c r="CT156" i="5"/>
  <c r="CT160" i="5"/>
  <c r="CT155" i="5"/>
  <c r="CT69" i="5"/>
  <c r="CT26" i="5"/>
  <c r="CT77" i="5"/>
  <c r="CT76" i="5"/>
  <c r="CT56" i="5"/>
  <c r="CT173" i="5"/>
  <c r="R41" i="1"/>
  <c r="R59" i="1"/>
  <c r="R31" i="1"/>
  <c r="R49" i="1"/>
  <c r="R156" i="1"/>
  <c r="R173" i="1"/>
  <c r="R52" i="1"/>
  <c r="R181" i="1"/>
  <c r="R168" i="1"/>
  <c r="R77" i="1"/>
  <c r="R66" i="1"/>
  <c r="R104" i="1"/>
  <c r="R170" i="1"/>
  <c r="R32" i="1"/>
  <c r="R146" i="1"/>
  <c r="R147" i="1"/>
  <c r="R148" i="1"/>
  <c r="R119" i="1"/>
  <c r="R118" i="1"/>
  <c r="R162" i="1"/>
  <c r="R60" i="1"/>
  <c r="R61" i="1"/>
  <c r="R51" i="1"/>
  <c r="R50" i="1"/>
  <c r="R69" i="1"/>
  <c r="R15" i="1"/>
  <c r="R164" i="1"/>
  <c r="R167" i="1"/>
  <c r="R72" i="1"/>
  <c r="R6" i="1"/>
  <c r="R84" i="1"/>
  <c r="R171" i="1"/>
  <c r="R91" i="1"/>
  <c r="R45" i="1"/>
  <c r="R63" i="1"/>
  <c r="R155" i="1"/>
  <c r="R64" i="1"/>
  <c r="R133" i="1"/>
  <c r="R11" i="1"/>
  <c r="R37" i="1"/>
  <c r="R154" i="1"/>
  <c r="R158" i="1"/>
  <c r="R153" i="1"/>
  <c r="R68" i="1"/>
  <c r="R25" i="1"/>
  <c r="R76" i="1"/>
  <c r="R75" i="1"/>
  <c r="R55" i="1"/>
  <c r="R161" i="1"/>
  <c r="R120" i="1"/>
  <c r="R121" i="1"/>
  <c r="R122" i="1"/>
  <c r="R149" i="1"/>
  <c r="R71" i="1"/>
  <c r="R99" i="1"/>
  <c r="R58" i="1"/>
  <c r="R39" i="1"/>
  <c r="R130" i="1"/>
  <c r="R8" i="1"/>
  <c r="R13" i="1"/>
  <c r="R83" i="1"/>
  <c r="R12" i="1"/>
  <c r="R131" i="1"/>
  <c r="R14" i="1"/>
  <c r="R42" i="1"/>
  <c r="R125" i="1"/>
  <c r="R80" i="1"/>
  <c r="R47" i="1"/>
  <c r="R183" i="1"/>
  <c r="R27" i="1"/>
  <c r="R182" i="1"/>
  <c r="R129" i="1"/>
  <c r="R46" i="1"/>
  <c r="R19" i="1"/>
  <c r="R186" i="1"/>
  <c r="R20" i="1"/>
  <c r="R18" i="1"/>
  <c r="R21" i="1"/>
  <c r="R17" i="1"/>
  <c r="R90" i="1"/>
  <c r="R92" i="1"/>
  <c r="R33" i="1"/>
  <c r="R139" i="1"/>
  <c r="R82" i="1"/>
  <c r="R34" i="1"/>
  <c r="R123" i="1"/>
  <c r="R87" i="1"/>
  <c r="R96" i="1"/>
  <c r="R89" i="1"/>
  <c r="R169" i="1"/>
  <c r="R73" i="1"/>
  <c r="R81" i="1"/>
  <c r="R103" i="1"/>
  <c r="R88" i="1"/>
  <c r="R78" i="1"/>
  <c r="R97" i="1"/>
  <c r="R179" i="1"/>
  <c r="R74" i="1"/>
  <c r="R134" i="1"/>
  <c r="R138" i="1"/>
  <c r="R165" i="1"/>
  <c r="R140" i="1"/>
  <c r="R150" i="1"/>
  <c r="R44" i="1"/>
  <c r="R43" i="1"/>
  <c r="R180" i="1"/>
  <c r="R160" i="1"/>
  <c r="R98" i="1"/>
  <c r="R7" i="1"/>
  <c r="R135" i="1"/>
  <c r="R86" i="1"/>
  <c r="R5" i="1"/>
  <c r="R35" i="1"/>
  <c r="R101" i="1"/>
  <c r="R54" i="1"/>
  <c r="R67" i="1"/>
  <c r="R22" i="1"/>
  <c r="R132" i="1"/>
  <c r="R29" i="1"/>
  <c r="R40" i="1"/>
  <c r="R157" i="1"/>
  <c r="R124" i="1"/>
  <c r="R93" i="1"/>
  <c r="R28" i="1"/>
  <c r="R100" i="1"/>
  <c r="R48" i="1"/>
  <c r="R105" i="1"/>
  <c r="R26" i="1"/>
  <c r="R23" i="1"/>
  <c r="R95" i="1"/>
  <c r="R65" i="1"/>
  <c r="R128" i="1"/>
  <c r="R151" i="1"/>
  <c r="R36" i="1"/>
  <c r="R3" i="1"/>
  <c r="R102" i="1"/>
  <c r="R9" i="1"/>
  <c r="R177" i="1"/>
  <c r="R175" i="1"/>
  <c r="R176" i="1"/>
  <c r="R174" i="1"/>
  <c r="R57" i="1"/>
  <c r="R79" i="1"/>
  <c r="R10" i="1"/>
  <c r="R38" i="1"/>
  <c r="R94" i="1"/>
  <c r="R178" i="1"/>
  <c r="R116" i="1"/>
  <c r="R117" i="1"/>
  <c r="R112" i="1"/>
  <c r="R166" i="1"/>
  <c r="R53" i="1"/>
  <c r="R136" i="1"/>
  <c r="R115" i="1"/>
  <c r="R185" i="1"/>
  <c r="R143" i="1"/>
  <c r="R142" i="1"/>
  <c r="R111" i="1"/>
  <c r="R137" i="1"/>
  <c r="R144" i="1"/>
  <c r="R145" i="1"/>
  <c r="R184" i="1"/>
  <c r="R141" i="1"/>
  <c r="R106" i="1"/>
  <c r="R113" i="1"/>
  <c r="R114" i="1"/>
  <c r="R110" i="1"/>
  <c r="R109" i="1"/>
  <c r="R163" i="1"/>
  <c r="R159" i="1"/>
  <c r="R108" i="1"/>
  <c r="R2" i="1"/>
  <c r="R187" i="1" s="1"/>
  <c r="R107" i="1"/>
  <c r="R70" i="1"/>
  <c r="R152" i="1"/>
  <c r="R30" i="1"/>
  <c r="R85" i="1"/>
  <c r="R126" i="1"/>
  <c r="R56" i="1"/>
  <c r="R127" i="1"/>
  <c r="R24" i="1"/>
  <c r="R172" i="1"/>
  <c r="CT131" i="5"/>
  <c r="AF75" i="6" l="1"/>
  <c r="CT189" i="5"/>
</calcChain>
</file>

<file path=xl/sharedStrings.xml><?xml version="1.0" encoding="utf-8"?>
<sst xmlns="http://schemas.openxmlformats.org/spreadsheetml/2006/main" count="21091" uniqueCount="933">
  <si>
    <t>Level</t>
  </si>
  <si>
    <t>GC%</t>
  </si>
  <si>
    <t>Replicons</t>
  </si>
  <si>
    <t>CDS</t>
  </si>
  <si>
    <t>Release Date</t>
  </si>
  <si>
    <t>Genes</t>
  </si>
  <si>
    <t>tRNA</t>
  </si>
  <si>
    <t>GCA_000007925.1</t>
  </si>
  <si>
    <t>Complete</t>
  </si>
  <si>
    <t>GCA_000010065.1</t>
  </si>
  <si>
    <t>GCA_000010625.1</t>
  </si>
  <si>
    <t>GCA_000020025.1</t>
  </si>
  <si>
    <t>GCA_000011345.1</t>
  </si>
  <si>
    <t>GCA_000014265.1</t>
  </si>
  <si>
    <t>GCA_000011385.1</t>
  </si>
  <si>
    <t>GCA_000018105.1</t>
  </si>
  <si>
    <t>GCA_000340565.3</t>
  </si>
  <si>
    <t>GCA_000210375.1</t>
  </si>
  <si>
    <t>GCA_000196515.1</t>
  </si>
  <si>
    <t>Oscillatoriales cyanobacterium JSC-12</t>
  </si>
  <si>
    <t>GCA_000309945.1</t>
  </si>
  <si>
    <t>GCA_000317125.1</t>
  </si>
  <si>
    <t>GCA_000317655.1</t>
  </si>
  <si>
    <t>GCA_000317695.1</t>
  </si>
  <si>
    <t>GCA_000710505.1</t>
  </si>
  <si>
    <t>GCA_000332235.1</t>
  </si>
  <si>
    <t>GCA_002142495.1</t>
  </si>
  <si>
    <t>GCA_000316515.1</t>
  </si>
  <si>
    <t>GCA_000317615.1</t>
  </si>
  <si>
    <t>GCA_000317105.1</t>
  </si>
  <si>
    <t>GCA_000317535.1</t>
  </si>
  <si>
    <t>GCA_000317495.1</t>
  </si>
  <si>
    <t>GCA_000317575.1</t>
  </si>
  <si>
    <t>GCA_000316605.1</t>
  </si>
  <si>
    <t>GCA_000012505.1</t>
  </si>
  <si>
    <t>GCA_000009705.1</t>
  </si>
  <si>
    <t>GCA_000009725.1</t>
  </si>
  <si>
    <t>GCA_000317435.1</t>
  </si>
  <si>
    <t>GCA_000317065.1</t>
  </si>
  <si>
    <t>GCA_000317045.1</t>
  </si>
  <si>
    <t>GCA_000312705.1</t>
  </si>
  <si>
    <t>GCA_000317025.1</t>
  </si>
  <si>
    <t>GCA_001548455.1</t>
  </si>
  <si>
    <t>GCA_000317555.1</t>
  </si>
  <si>
    <t>GCA_000317515.1</t>
  </si>
  <si>
    <t>GCA_000017845.1</t>
  </si>
  <si>
    <t>GCA_900088535.1</t>
  </si>
  <si>
    <t>GCA_000757845.1</t>
  </si>
  <si>
    <t>GCA_000317635.1</t>
  </si>
  <si>
    <t>GCA_000316665.1</t>
  </si>
  <si>
    <t>GCA_003019735.1</t>
  </si>
  <si>
    <t>GCA_001767235.1</t>
  </si>
  <si>
    <t>GCA_000317145.1</t>
  </si>
  <si>
    <t>GCA_000317475.1</t>
  </si>
  <si>
    <t>GCA_000317675.1</t>
  </si>
  <si>
    <t>GCA_003994795.1</t>
  </si>
  <si>
    <t>GCA_000505665.1</t>
  </si>
  <si>
    <t>GCA_000025125.1</t>
  </si>
  <si>
    <t>GCA_000484535.1</t>
  </si>
  <si>
    <t>GCA_000829235.1</t>
  </si>
  <si>
    <t>GCA_001264245.1</t>
  </si>
  <si>
    <t>GCA_001298445.1</t>
  </si>
  <si>
    <t>GCA_001548095.1</t>
  </si>
  <si>
    <t>Candidatus Melainabacteria bacterium MEL.A1</t>
  </si>
  <si>
    <t>GCA_001765415.1</t>
  </si>
  <si>
    <t>GCA_001870225.1</t>
  </si>
  <si>
    <t>GCA_002368235.1</t>
  </si>
  <si>
    <t>Nostocales cyanobacterium HT-58-2</t>
  </si>
  <si>
    <t>GCA_002163975.1</t>
  </si>
  <si>
    <t>GCA_000204075.1</t>
  </si>
  <si>
    <t>GCA_002355455.1</t>
  </si>
  <si>
    <t>GCA_002367975.1</t>
  </si>
  <si>
    <t>GCA_002367995.1</t>
  </si>
  <si>
    <t>GCA_002368035.1</t>
  </si>
  <si>
    <t>GCA_002368055.1</t>
  </si>
  <si>
    <t>GCA_002368075.1</t>
  </si>
  <si>
    <t>GCA_002368095.1</t>
  </si>
  <si>
    <t>GCA_002368115.1</t>
  </si>
  <si>
    <t>GCA_002368135.1</t>
  </si>
  <si>
    <t>GCA_002368155.1</t>
  </si>
  <si>
    <t>GCA_002368275.1</t>
  </si>
  <si>
    <t>GCA_002368295.1</t>
  </si>
  <si>
    <t>GCA_002368355.1</t>
  </si>
  <si>
    <t>GCA_002754935.1</t>
  </si>
  <si>
    <t>GCA_002813575.1</t>
  </si>
  <si>
    <t>GCA_003990685.1</t>
  </si>
  <si>
    <t>GCA_003443655.1</t>
  </si>
  <si>
    <t>GCA_003574135.1</t>
  </si>
  <si>
    <t>GCA_003945305.1</t>
  </si>
  <si>
    <t>GCA_003990665.2</t>
  </si>
  <si>
    <t>GCA_002368015.1</t>
  </si>
  <si>
    <t>GCA_002368435.1</t>
  </si>
  <si>
    <t>GCA_001548115.1</t>
  </si>
  <si>
    <t>GCA_001854205.1</t>
  </si>
  <si>
    <t>GCA_000973065.1</t>
  </si>
  <si>
    <t>GCA_000757865.1</t>
  </si>
  <si>
    <t>GCA_000021805.1</t>
  </si>
  <si>
    <t>GCA_003967015.1</t>
  </si>
  <si>
    <t>GCA_002368315.1</t>
  </si>
  <si>
    <t>GCA_001277295.1</t>
  </si>
  <si>
    <t>GCA_002813895.1</t>
  </si>
  <si>
    <t>GCA_000316575.1</t>
  </si>
  <si>
    <t>GCA_000270265.1</t>
  </si>
  <si>
    <t>GCA_000316625.1</t>
  </si>
  <si>
    <t>GCA_000012625.1</t>
  </si>
  <si>
    <t>GCA_001548395.1</t>
  </si>
  <si>
    <t>GCA_002142475.1</t>
  </si>
  <si>
    <t>GCA_003609755.1</t>
  </si>
  <si>
    <t>GCA_002367955.1</t>
  </si>
  <si>
    <t>GCA_003054475.1</t>
  </si>
  <si>
    <t>GCA_001611905.1</t>
  </si>
  <si>
    <t>GCA_003555505.1</t>
  </si>
  <si>
    <t>GCA_000981785.2</t>
  </si>
  <si>
    <t>GCA_000012525.1</t>
  </si>
  <si>
    <t>GCA_000011465.1</t>
  </si>
  <si>
    <t>GCA_000011485.1</t>
  </si>
  <si>
    <t>GCA_003957805.1</t>
  </si>
  <si>
    <t>GCA_001704955.2</t>
  </si>
  <si>
    <t>GCA_000307915.1</t>
  </si>
  <si>
    <t>GCA_002368255.1</t>
  </si>
  <si>
    <t>GCA_001548435.1</t>
  </si>
  <si>
    <t>GCA_000013205.1</t>
  </si>
  <si>
    <t>GCA_000316645.1</t>
  </si>
  <si>
    <t>GCA_000284135.1</t>
  </si>
  <si>
    <t>GCA_000734895.2</t>
  </si>
  <si>
    <t>GCA_000021825.1</t>
  </si>
  <si>
    <t>GCA_001989415.1</t>
  </si>
  <si>
    <t>GCA_001989435.1</t>
  </si>
  <si>
    <t>Cyanothece sp. PCC 7425</t>
  </si>
  <si>
    <t>GCA_000022045.1</t>
  </si>
  <si>
    <t>GCA_002368175.1</t>
  </si>
  <si>
    <t>GCA_000284215.1</t>
  </si>
  <si>
    <t>GCA_001548375.1</t>
  </si>
  <si>
    <t>GCA_000013225.1</t>
  </si>
  <si>
    <t>GCA_002095975.1</t>
  </si>
  <si>
    <t>GCA_003846445.1</t>
  </si>
  <si>
    <t>GCA_000012465.1</t>
  </si>
  <si>
    <t>GCA_000012645.1</t>
  </si>
  <si>
    <t>GCA_000014585.1</t>
  </si>
  <si>
    <t>GCA_002896875.1</t>
  </si>
  <si>
    <t>GCA_000284455.1</t>
  </si>
  <si>
    <t>GCA_002368395.1</t>
  </si>
  <si>
    <t>GCA_000024045.1</t>
  </si>
  <si>
    <t>GCA_001989455.1</t>
  </si>
  <si>
    <t>GCA_000147335.1</t>
  </si>
  <si>
    <t>GCA_002368455.1</t>
  </si>
  <si>
    <t>GCA_000340785.1</t>
  </si>
  <si>
    <t>GCA_002949735.1</t>
  </si>
  <si>
    <t>GCA_000019485.1</t>
  </si>
  <si>
    <t>GCA_000015645.1</t>
  </si>
  <si>
    <t>GCA_000015665.1</t>
  </si>
  <si>
    <t>Synechococcus sp. WH 7803</t>
  </si>
  <si>
    <t>GCA_000063505.1</t>
  </si>
  <si>
    <t>GCA_002949795.1</t>
  </si>
  <si>
    <t>GCA_000478825.2</t>
  </si>
  <si>
    <t>GCA_004296455.1</t>
  </si>
  <si>
    <t>GCA_002368195.1</t>
  </si>
  <si>
    <t>GCA_001318385.1</t>
  </si>
  <si>
    <t>GCA_003990705.1</t>
  </si>
  <si>
    <t>GCA_000063525.1</t>
  </si>
  <si>
    <t>GCA_000018585.1</t>
  </si>
  <si>
    <t>Synechococcus sp. WH 8109</t>
  </si>
  <si>
    <t>GCA_000161795.2</t>
  </si>
  <si>
    <t>GCA_002368215.1</t>
  </si>
  <si>
    <t>GCA_003015225.1</t>
  </si>
  <si>
    <t>GCA_002368415.1</t>
  </si>
  <si>
    <t>GCA_002368335.1</t>
  </si>
  <si>
    <t>GCA_000195975.1</t>
  </si>
  <si>
    <t>GCA_000015685.1</t>
  </si>
  <si>
    <t>GCA_000015965.1</t>
  </si>
  <si>
    <t>GCA_000316685.1</t>
  </si>
  <si>
    <t>GCA_000317085.1</t>
  </si>
  <si>
    <t>GCA_000018065.1</t>
  </si>
  <si>
    <t>GCA_000737535.1</t>
  </si>
  <si>
    <t>GCA_000737575.1</t>
  </si>
  <si>
    <t>GCA_000737595.1</t>
  </si>
  <si>
    <t>GCA_000817325.1</t>
  </si>
  <si>
    <t>GCA_001182765.1</t>
  </si>
  <si>
    <t>GCA_001521855.1</t>
  </si>
  <si>
    <t>GCA_001693255.1</t>
  </si>
  <si>
    <t>GCA_001693275.1</t>
  </si>
  <si>
    <t>GCA_001693295.1</t>
  </si>
  <si>
    <t>GCA_001885215.1</t>
  </si>
  <si>
    <t>GCA_002356215.1</t>
  </si>
  <si>
    <t>GCA_004209775.1</t>
  </si>
  <si>
    <t>GCA_001040845.1</t>
  </si>
  <si>
    <t>GCA_000332275.1</t>
  </si>
  <si>
    <t>GCA_000015705.1</t>
  </si>
  <si>
    <t>Ladderane</t>
  </si>
  <si>
    <t>Lassopeptide</t>
  </si>
  <si>
    <t>Accession number</t>
  </si>
  <si>
    <t>NC_009925.1</t>
  </si>
  <si>
    <t>-</t>
  </si>
  <si>
    <t>NC_019771.1</t>
  </si>
  <si>
    <t>Known NP</t>
  </si>
  <si>
    <t>Heterocyst glycolipid</t>
  </si>
  <si>
    <t>HG</t>
  </si>
  <si>
    <t>NC_014248.1</t>
  </si>
  <si>
    <t>plasmid3</t>
  </si>
  <si>
    <t>pREB2</t>
  </si>
  <si>
    <t>pREB1</t>
  </si>
  <si>
    <t>NZ_AP018166.1</t>
  </si>
  <si>
    <t>chANA01</t>
  </si>
  <si>
    <t>chANA02</t>
  </si>
  <si>
    <t>NC_019427.1</t>
  </si>
  <si>
    <t>NC_019439.1</t>
  </si>
  <si>
    <t>HAS</t>
  </si>
  <si>
    <t>MPT</t>
  </si>
  <si>
    <t>MCY</t>
  </si>
  <si>
    <t>Hassalidin</t>
  </si>
  <si>
    <t>Micropeptin</t>
  </si>
  <si>
    <t>Microcystin</t>
  </si>
  <si>
    <t>NZ_CP011456.1</t>
  </si>
  <si>
    <t>unnamed</t>
  </si>
  <si>
    <t>ANC</t>
  </si>
  <si>
    <t>Anacyclamide</t>
  </si>
  <si>
    <t>Thiopeptide</t>
  </si>
  <si>
    <t>NZ_AP018174.1</t>
  </si>
  <si>
    <t>GEO</t>
  </si>
  <si>
    <t>Geosmin</t>
  </si>
  <si>
    <t>NZ_CM001632.1</t>
  </si>
  <si>
    <t>NC_016640.1</t>
  </si>
  <si>
    <t>NZ_CP013008.1</t>
  </si>
  <si>
    <t>NZ_FO818640.1</t>
  </si>
  <si>
    <t>plasmid1</t>
  </si>
  <si>
    <t>NZ_AP018307.1</t>
  </si>
  <si>
    <t>NZ_AP018207.1</t>
  </si>
  <si>
    <t>plasmid4</t>
  </si>
  <si>
    <t>NZ_AP018227.1</t>
  </si>
  <si>
    <t>Indole</t>
  </si>
  <si>
    <t>NZ_CP011382.1</t>
  </si>
  <si>
    <t>plasmid2</t>
  </si>
  <si>
    <t>NZ_AP018255.1</t>
  </si>
  <si>
    <t>Phenazine</t>
  </si>
  <si>
    <t>NZ_AP018216.1</t>
  </si>
  <si>
    <t>Siderophore</t>
  </si>
  <si>
    <t>A</t>
  </si>
  <si>
    <t>C</t>
  </si>
  <si>
    <t>NC_007413.1</t>
  </si>
  <si>
    <t>SHI</t>
  </si>
  <si>
    <t>Shinorine</t>
  </si>
  <si>
    <t>TRI</t>
  </si>
  <si>
    <t>Trichamide</t>
  </si>
  <si>
    <t>NC_005042.1</t>
  </si>
  <si>
    <t>NC_003272.1</t>
  </si>
  <si>
    <t>NC_000911.1</t>
  </si>
  <si>
    <t>NC_006576.1</t>
  </si>
  <si>
    <t>NZ_AP018290.1</t>
  </si>
  <si>
    <t>NC_019751.1</t>
  </si>
  <si>
    <t>NC_019682.1</t>
  </si>
  <si>
    <t>NC_013771.1</t>
  </si>
  <si>
    <t>CP017245.1</t>
  </si>
  <si>
    <t>NC_019697.1</t>
  </si>
  <si>
    <t>NZ_AP018281.1</t>
  </si>
  <si>
    <t>NC_019695.1</t>
  </si>
  <si>
    <t>NC_019753.1</t>
  </si>
  <si>
    <t>NC_019776.1</t>
  </si>
  <si>
    <t>NZ_AP012549.1</t>
  </si>
  <si>
    <t>NZ_AP018341.1</t>
  </si>
  <si>
    <t>CP024912.1</t>
  </si>
  <si>
    <t>NC_019675.1</t>
  </si>
  <si>
    <t>NZ_LT578417.1</t>
  </si>
  <si>
    <t>NC_010546.1</t>
  </si>
  <si>
    <t>NC_011729.1</t>
  </si>
  <si>
    <t>NC_011726.1</t>
  </si>
  <si>
    <t>NC_011884.1</t>
  </si>
  <si>
    <t>NC_014501.1</t>
  </si>
  <si>
    <t>Ectoine</t>
  </si>
  <si>
    <t>NC_013161.1</t>
  </si>
  <si>
    <t>AP018269.1</t>
  </si>
  <si>
    <t>NC_019757.1</t>
  </si>
  <si>
    <t>NC_019780.1</t>
  </si>
  <si>
    <t>NZ_AP018316.1</t>
  </si>
  <si>
    <t>APT</t>
  </si>
  <si>
    <t>Anabaenopeptin</t>
  </si>
  <si>
    <t>NZ_AP017305.1</t>
  </si>
  <si>
    <t>NZ_AP018298.1</t>
  </si>
  <si>
    <t>AMB</t>
  </si>
  <si>
    <t>Ambiguine</t>
  </si>
  <si>
    <t>NZ_AP018233.1</t>
  </si>
  <si>
    <t>NC_019703.1</t>
  </si>
  <si>
    <t>NZ_CM001775.1</t>
  </si>
  <si>
    <t>NZ_AP014815.1</t>
  </si>
  <si>
    <t>NZ_AP014821.1</t>
  </si>
  <si>
    <t>NC_022600.1</t>
  </si>
  <si>
    <t>NC_005125.1</t>
  </si>
  <si>
    <t>NC_019745.1</t>
  </si>
  <si>
    <t>NZ_CP017675.1</t>
  </si>
  <si>
    <t>NC_019779.1</t>
  </si>
  <si>
    <t>NZ_AP014642.1</t>
  </si>
  <si>
    <t>pLBX</t>
  </si>
  <si>
    <t>NZ_AP014638.1</t>
  </si>
  <si>
    <t>NZ_AP018203.1</t>
  </si>
  <si>
    <t>NZ_AP017308.1</t>
  </si>
  <si>
    <t>NZ_AP017367.1</t>
  </si>
  <si>
    <t>NC_019683.1</t>
  </si>
  <si>
    <t>NC_019738.1</t>
  </si>
  <si>
    <t>NZ_CP012375.1</t>
  </si>
  <si>
    <t>AER</t>
  </si>
  <si>
    <t>MIC</t>
  </si>
  <si>
    <t>Aeruginosin</t>
  </si>
  <si>
    <t>NZ_CP011304.1</t>
  </si>
  <si>
    <t>NZ_CP020771.1</t>
  </si>
  <si>
    <t>MCC</t>
  </si>
  <si>
    <t>Microcyclamide</t>
  </si>
  <si>
    <t>NZ_CP011339.1</t>
  </si>
  <si>
    <t>NZ_CP020664.1</t>
  </si>
  <si>
    <t>NZ_AP019314.1</t>
  </si>
  <si>
    <t>NZ_CP017599.1</t>
  </si>
  <si>
    <t>CUR</t>
  </si>
  <si>
    <t>NZ_CP007203.1</t>
  </si>
  <si>
    <t>NDA</t>
  </si>
  <si>
    <t>Nodularin</t>
  </si>
  <si>
    <t>SPU</t>
  </si>
  <si>
    <t>Spumigin</t>
  </si>
  <si>
    <t>NZ_CP020114.1</t>
  </si>
  <si>
    <t>NZ_AP018180.1</t>
  </si>
  <si>
    <t>AP018326.1</t>
  </si>
  <si>
    <t>NZ_CP024785.1</t>
  </si>
  <si>
    <t>NZ_AP018222.1</t>
  </si>
  <si>
    <t>NTP</t>
  </si>
  <si>
    <t>Nostopeptolide</t>
  </si>
  <si>
    <t>NZ_CP012036.1</t>
  </si>
  <si>
    <t>NPT</t>
  </si>
  <si>
    <t>NC_010628.1</t>
  </si>
  <si>
    <t>NZ_CP026692.1</t>
  </si>
  <si>
    <t>pNLP2</t>
  </si>
  <si>
    <t>NZ_CP026681.1</t>
  </si>
  <si>
    <t>NZ_CP023278.1</t>
  </si>
  <si>
    <t>AP018318.1</t>
  </si>
  <si>
    <t>NZ_AP018184.1</t>
  </si>
  <si>
    <t>pNOS3756_1</t>
  </si>
  <si>
    <t>NZ_AP017295.1</t>
  </si>
  <si>
    <t>NC_019676.1</t>
  </si>
  <si>
    <t>NC_019684.1</t>
  </si>
  <si>
    <t>NZ_CP019636.1</t>
  </si>
  <si>
    <t>NC_019693.1</t>
  </si>
  <si>
    <t>NC_019729.1</t>
  </si>
  <si>
    <t>NZ_CM001633.1</t>
  </si>
  <si>
    <t>AP017991.1</t>
  </si>
  <si>
    <t>PLG</t>
  </si>
  <si>
    <t>Prenylagaramide</t>
  </si>
  <si>
    <t>Viridisamide</t>
  </si>
  <si>
    <t>NZ_CM002803.1</t>
  </si>
  <si>
    <t>pPA79</t>
  </si>
  <si>
    <t>pPA115</t>
  </si>
  <si>
    <t>NC_019689.1</t>
  </si>
  <si>
    <t>NC_008816.1</t>
  </si>
  <si>
    <t>NC_009976.1</t>
  </si>
  <si>
    <t>NC_009840.1</t>
  </si>
  <si>
    <t>NC_009091.1</t>
  </si>
  <si>
    <t>NC_007335.2</t>
  </si>
  <si>
    <t>NC_005071.1</t>
  </si>
  <si>
    <t>NC_008817.1</t>
  </si>
  <si>
    <t>NC_008819.1</t>
  </si>
  <si>
    <t>NC_005072.1</t>
  </si>
  <si>
    <t>NZ_CP007753.1</t>
  </si>
  <si>
    <t>NZ_CP007754.1</t>
  </si>
  <si>
    <t>NZ_CP018345.1</t>
  </si>
  <si>
    <t>NZ_CP018346.1</t>
  </si>
  <si>
    <t>NZ_CP018344.1</t>
  </si>
  <si>
    <t>NZ_AP017560.1</t>
  </si>
  <si>
    <t>ABRG53d</t>
  </si>
  <si>
    <t>ABRG53e</t>
  </si>
  <si>
    <t>ABRG53f</t>
  </si>
  <si>
    <t>NC_019701.1</t>
  </si>
  <si>
    <t>NZ_AP018317.1</t>
  </si>
  <si>
    <t>NC_019678.1</t>
  </si>
  <si>
    <t>NZ_AP018194.1</t>
  </si>
  <si>
    <t>NZ_AP018314.1</t>
  </si>
  <si>
    <t>NZ_AP018268.1</t>
  </si>
  <si>
    <t>NC_019748.1</t>
  </si>
  <si>
    <t>NZ_AP017375.1</t>
  </si>
  <si>
    <t>CP030139.1</t>
  </si>
  <si>
    <t>NC_007604.1</t>
  </si>
  <si>
    <t>NZ_CP033061.1</t>
  </si>
  <si>
    <t>NZ_CP018092.1</t>
  </si>
  <si>
    <t>NC_008319.1</t>
  </si>
  <si>
    <t>NC_007516.1</t>
  </si>
  <si>
    <t>NC_007513.1</t>
  </si>
  <si>
    <t>NC_007776.1</t>
  </si>
  <si>
    <t>NC_007775.1</t>
  </si>
  <si>
    <t>NZ_CP006269.1</t>
  </si>
  <si>
    <t>NZ_CP006270.1</t>
  </si>
  <si>
    <t>NZ_CP006271.1</t>
  </si>
  <si>
    <t>NZ_AP017959.1</t>
  </si>
  <si>
    <t>NC_010475.1</t>
  </si>
  <si>
    <t>pAQ7</t>
  </si>
  <si>
    <t>NZ_CP016474.1</t>
  </si>
  <si>
    <t>NZ_CP016483.1</t>
  </si>
  <si>
    <t>NZ_CP013998.1</t>
  </si>
  <si>
    <t>NZ_CM001776.1</t>
  </si>
  <si>
    <t>NC_019702.1</t>
  </si>
  <si>
    <t>NZ_CP016477.1</t>
  </si>
  <si>
    <t>unnamed5</t>
  </si>
  <si>
    <t>NC_009482.1</t>
  </si>
  <si>
    <t>NZ_CP018091.1</t>
  </si>
  <si>
    <t>NZ_CP006471.1</t>
  </si>
  <si>
    <t>NZ_CP011941.1</t>
  </si>
  <si>
    <t>NC_005070.1</t>
  </si>
  <si>
    <t>NZ_LN847356.1</t>
  </si>
  <si>
    <t>NZ_CP006882.1</t>
  </si>
  <si>
    <t>NZ_CP028094.1</t>
  </si>
  <si>
    <t>NZ_CP007542.1</t>
  </si>
  <si>
    <t>NC_017277.1</t>
  </si>
  <si>
    <t>NC_020286.1</t>
  </si>
  <si>
    <t>NZ_CP012832.1</t>
  </si>
  <si>
    <t>NC_017038.1</t>
  </si>
  <si>
    <t>NC_017052.1</t>
  </si>
  <si>
    <t>NC_017039.1</t>
  </si>
  <si>
    <t>NC_004113.1</t>
  </si>
  <si>
    <t>CP032152.1</t>
  </si>
  <si>
    <t>NC_023033.1</t>
  </si>
  <si>
    <t>NZ_AP018202.1</t>
  </si>
  <si>
    <t>NC_008312.1</t>
  </si>
  <si>
    <t>Plasmid size (bp)</t>
  </si>
  <si>
    <t>NC_009481.1</t>
  </si>
  <si>
    <t>NZ_AP018248.1</t>
  </si>
  <si>
    <t>p2</t>
  </si>
  <si>
    <t>NZ_CP031941.1</t>
  </si>
  <si>
    <t>Chr</t>
  </si>
  <si>
    <t>Chromossome</t>
  </si>
  <si>
    <t>Pld</t>
  </si>
  <si>
    <t>Plasmid</t>
  </si>
  <si>
    <t>GCA_007904085.1</t>
  </si>
  <si>
    <t>GCA_002075285.3</t>
  </si>
  <si>
    <t>GCA_000179235.2</t>
  </si>
  <si>
    <t>GCA_005577135.1</t>
  </si>
  <si>
    <t>GCA_008121535.1</t>
  </si>
  <si>
    <t>GCA_008386235.1</t>
  </si>
  <si>
    <t>GCA_008807075.1</t>
  </si>
  <si>
    <t>GCA_009372195.1</t>
  </si>
  <si>
    <t>GCA_009498015.1</t>
  </si>
  <si>
    <t>GCA_009498715.1</t>
  </si>
  <si>
    <t>GCA_009873495.1</t>
  </si>
  <si>
    <t>Chromosome</t>
  </si>
  <si>
    <t>Amglyccycl</t>
  </si>
  <si>
    <t>Bacteriocin</t>
  </si>
  <si>
    <t>Cyanobactin</t>
  </si>
  <si>
    <t>Microviridin</t>
  </si>
  <si>
    <t>NRPS</t>
  </si>
  <si>
    <t>Proteusin</t>
  </si>
  <si>
    <t>Resorcinol</t>
  </si>
  <si>
    <t>Terpene</t>
  </si>
  <si>
    <t>Other</t>
  </si>
  <si>
    <t>hglE-KS,T1PKS</t>
  </si>
  <si>
    <t>T3PKS</t>
  </si>
  <si>
    <t>hglE-KS</t>
  </si>
  <si>
    <t>Arypolyene</t>
  </si>
  <si>
    <t>NC_007577.1</t>
  </si>
  <si>
    <t>Lanthipeptide</t>
  </si>
  <si>
    <t>6 36</t>
  </si>
  <si>
    <t>2 88</t>
  </si>
  <si>
    <t>NPT, HG, SHI</t>
  </si>
  <si>
    <t>NC_008820.1</t>
  </si>
  <si>
    <t>NC_010296.1</t>
  </si>
  <si>
    <t>PIR</t>
  </si>
  <si>
    <t>Piricyclamide</t>
  </si>
  <si>
    <t>HG, NTP, SHI</t>
  </si>
  <si>
    <t>AER, MCY, MIC, MPT, PIR</t>
  </si>
  <si>
    <t>Betalactone</t>
  </si>
  <si>
    <t>APT, GEO, HG, NPT,</t>
  </si>
  <si>
    <t>Bacteriocin, lanthipeptide</t>
  </si>
  <si>
    <t>Bacteriocin, cyanobactin, LAP</t>
  </si>
  <si>
    <t>Bacteriocin, NRPS</t>
  </si>
  <si>
    <t>Bacteriocin, lanthipeptide, NRPS</t>
  </si>
  <si>
    <t>Betalactone, NRPS</t>
  </si>
  <si>
    <t>Microviridin, NRPS</t>
  </si>
  <si>
    <t>Bacteriocin, NRPS, T1PKS</t>
  </si>
  <si>
    <t>Microviridin, NRPS, T1PKS</t>
  </si>
  <si>
    <t>Bacteriosin, Proteosin</t>
  </si>
  <si>
    <t>TfuA-related, Thiopeptide</t>
  </si>
  <si>
    <t>Bacteriocin, terpene</t>
  </si>
  <si>
    <t>Bacteriocin, T3PKS</t>
  </si>
  <si>
    <t>hglE-KS, transAT-PKS, T1PKS</t>
  </si>
  <si>
    <t>NRPS, T1PKS</t>
  </si>
  <si>
    <t>Terpene, T1PKS</t>
  </si>
  <si>
    <t>hglE-KS, NRPS, T1PKS</t>
  </si>
  <si>
    <t>Butyrolactone, hglE-KS, T1PKS</t>
  </si>
  <si>
    <t>NRPS, terpene, T1PKS</t>
  </si>
  <si>
    <t>T1PKS, T3PKS</t>
  </si>
  <si>
    <t>Bacteriocin, Lanthipeptide</t>
  </si>
  <si>
    <t>Lanthipeptide, PKS, TPKS, T3PKS</t>
  </si>
  <si>
    <t>BGCs-Chr</t>
  </si>
  <si>
    <t>BGCs-Pld</t>
  </si>
  <si>
    <t>Total BGCs</t>
  </si>
  <si>
    <t>APT*</t>
  </si>
  <si>
    <t>T1PKS</t>
  </si>
  <si>
    <t>Hserlactoine</t>
  </si>
  <si>
    <t>LAP</t>
  </si>
  <si>
    <t>Nucleoside</t>
  </si>
  <si>
    <t>Cyanobactin, LAP</t>
  </si>
  <si>
    <t>NRPS, resorcinol</t>
  </si>
  <si>
    <t>Betalactone, NRPS, T1PKS</t>
  </si>
  <si>
    <t>Terpene, T3PKS</t>
  </si>
  <si>
    <t>NC_019680.1</t>
  </si>
  <si>
    <t>Bacteriocin, lassopeptide</t>
  </si>
  <si>
    <t>Bacteriocin, cyanobactin, LAP, thiopeptide</t>
  </si>
  <si>
    <t>Oligosaccharide</t>
  </si>
  <si>
    <t>HG, SHI</t>
  </si>
  <si>
    <t>Bacteriocin, TfuA-related</t>
  </si>
  <si>
    <t>Indole, NRPS</t>
  </si>
  <si>
    <t>CYL</t>
  </si>
  <si>
    <t>Cylindrocyclophane</t>
  </si>
  <si>
    <t>PKS-like, T1PKS, T3PKS</t>
  </si>
  <si>
    <t>Ladderane, lassopeptide</t>
  </si>
  <si>
    <t>NRPS, terpen, TfuA-related, thipeptide, T1PKS</t>
  </si>
  <si>
    <t>transAT-PKS, T1PKS</t>
  </si>
  <si>
    <t>transAT-PKS</t>
  </si>
  <si>
    <t>TfuA-related</t>
  </si>
  <si>
    <t>T2PKS</t>
  </si>
  <si>
    <t>VIR</t>
  </si>
  <si>
    <t>NC_019778.1</t>
  </si>
  <si>
    <t>hglE-KS, NRPS, resorcinol</t>
  </si>
  <si>
    <t>Arypolyene, NRPS</t>
  </si>
  <si>
    <t>NRPS, terpene</t>
  </si>
  <si>
    <t>Butyrolactone</t>
  </si>
  <si>
    <t>AER*, APT*, HG, NOD, SPU</t>
  </si>
  <si>
    <t>NRPS, transAT-PKS-like, T1PKS</t>
  </si>
  <si>
    <t>AGD</t>
  </si>
  <si>
    <t>Aeruginoside</t>
  </si>
  <si>
    <t>AGD, MCY, PRE</t>
  </si>
  <si>
    <t>PRE</t>
  </si>
  <si>
    <t>Betalactone, microviridin, NRPS</t>
  </si>
  <si>
    <t>Phosphonate</t>
  </si>
  <si>
    <t>Bacteriocin, LAP</t>
  </si>
  <si>
    <t>AER, MIC, MPT</t>
  </si>
  <si>
    <t>AER, MCY, MIC, PIR</t>
  </si>
  <si>
    <t>Terpene, Thiopeptide</t>
  </si>
  <si>
    <t>NRPS, T1PKS, T3PKS</t>
  </si>
  <si>
    <t>Chr Incision-element</t>
  </si>
  <si>
    <t>Acession</t>
  </si>
  <si>
    <t>Size (Mbp)</t>
  </si>
  <si>
    <t>LAP, thiopeptide</t>
  </si>
  <si>
    <t>HG, NPT, SHI</t>
  </si>
  <si>
    <t>CDPS, NRPS, T1PKS</t>
  </si>
  <si>
    <t>hglE-KS, resorcinol</t>
  </si>
  <si>
    <t>TEN</t>
  </si>
  <si>
    <t>Tenuecyclamide</t>
  </si>
  <si>
    <t>AER, MCY, MIC</t>
  </si>
  <si>
    <t>Acyl_amino_acids</t>
  </si>
  <si>
    <t>NZ_CP017708.1</t>
  </si>
  <si>
    <t>HEC, JAM</t>
  </si>
  <si>
    <t>hglE-KS, NRPS, T1PKS, T3PKS</t>
  </si>
  <si>
    <t>Cyanobactin, lassopeptide</t>
  </si>
  <si>
    <t>NRPS, PKS-like, T1PKS, T3PKS</t>
  </si>
  <si>
    <t>Bacteriocin, cyanobactin</t>
  </si>
  <si>
    <t>HEC, CUR</t>
  </si>
  <si>
    <t>Curacin</t>
  </si>
  <si>
    <t>HEC</t>
  </si>
  <si>
    <t>Hectochlorin</t>
  </si>
  <si>
    <t>Lassopeptide, NRPS</t>
  </si>
  <si>
    <t>CDPS</t>
  </si>
  <si>
    <t>AER, MIC, MCC, MCY</t>
  </si>
  <si>
    <t>Phosphonate, terpene</t>
  </si>
  <si>
    <t>Bacteriocin, LAP, NRPS, T1PKS</t>
  </si>
  <si>
    <t>Lanthipeptide, NRPS, PKS</t>
  </si>
  <si>
    <t>NZ_CP021983.2</t>
  </si>
  <si>
    <t>MER</t>
  </si>
  <si>
    <t>Merocyclophane</t>
  </si>
  <si>
    <t>HG, MER</t>
  </si>
  <si>
    <t>LAP. NRPS</t>
  </si>
  <si>
    <t>HAS*</t>
  </si>
  <si>
    <t>TfuA-relate, thipeptide</t>
  </si>
  <si>
    <t>Betalactone, hglE-KS, microviridin, NRPS, T1PKS</t>
  </si>
  <si>
    <t>Indole, NRPS, T1PKS</t>
  </si>
  <si>
    <t>GEO, HG</t>
  </si>
  <si>
    <t>Bacteriocin, NRPS, other, T1PKS</t>
  </si>
  <si>
    <t>AMB, MCY</t>
  </si>
  <si>
    <t>Oligosaccharide, other</t>
  </si>
  <si>
    <t>CYL, HG</t>
  </si>
  <si>
    <t>APT, GEO, HG, NPT</t>
  </si>
  <si>
    <t>HG, NOD, SPU</t>
  </si>
  <si>
    <t>NZ_AP018172.1</t>
  </si>
  <si>
    <t>AP018280.1</t>
  </si>
  <si>
    <t>NZ_AP018254.1</t>
  </si>
  <si>
    <t>Bacteriocin, microviridin</t>
  </si>
  <si>
    <t>Oligosaccharide, terpene</t>
  </si>
  <si>
    <t>GEO, NPT</t>
  </si>
  <si>
    <t>NZ_AP018178.1</t>
  </si>
  <si>
    <t>NRPS, thiopeptide, T1PKS</t>
  </si>
  <si>
    <t>NZ_AP018288.1</t>
  </si>
  <si>
    <t>Ladderane, NRPS, T1PKS</t>
  </si>
  <si>
    <t>hglE-KS, NRPS, resorcinol, T1PKS</t>
  </si>
  <si>
    <t>AER, HG, NOD, PSPU, SHI</t>
  </si>
  <si>
    <t>Pseudospumigin</t>
  </si>
  <si>
    <t>PSPU</t>
  </si>
  <si>
    <t>APT, GEO, HG, NOS, NPT</t>
  </si>
  <si>
    <t>NOS</t>
  </si>
  <si>
    <t>Nosperin</t>
  </si>
  <si>
    <t>Bacteriocin, LAP, NRPS, PKS-like, transAT-PKS, T1PKS, T3PKS</t>
  </si>
  <si>
    <t>NRPS, phosphonate</t>
  </si>
  <si>
    <t>Microviridin, terpene</t>
  </si>
  <si>
    <t>AER, APT, MIC, PRE</t>
  </si>
  <si>
    <t>AER, MIC</t>
  </si>
  <si>
    <t>NZ_CP035914.1</t>
  </si>
  <si>
    <t>NZ_CP039373.1</t>
  </si>
  <si>
    <t>unnamed1</t>
  </si>
  <si>
    <t>NZ_CP040360.1</t>
  </si>
  <si>
    <t>NZ_CP042326.1</t>
  </si>
  <si>
    <t>NZ_CP043056.1</t>
  </si>
  <si>
    <t>APT, HG, MCT</t>
  </si>
  <si>
    <t>NZ_CP040671.1</t>
  </si>
  <si>
    <t>NZ_CP035632.1</t>
  </si>
  <si>
    <t>NZ_CP045226.1</t>
  </si>
  <si>
    <t>NZ_CP045227.1</t>
  </si>
  <si>
    <t>Bacteriocin, TfaA-related</t>
  </si>
  <si>
    <t>Gxm1</t>
  </si>
  <si>
    <t>Gxm2</t>
  </si>
  <si>
    <t>NZ_CP034058.1</t>
  </si>
  <si>
    <t>CP034671.1</t>
  </si>
  <si>
    <t>NZ_CP046703.1</t>
  </si>
  <si>
    <t>CRY</t>
  </si>
  <si>
    <t>APT, GEO, HG, NTC</t>
  </si>
  <si>
    <t>NTC</t>
  </si>
  <si>
    <t>Nostocyclopeptide</t>
  </si>
  <si>
    <t>Cryptophycin</t>
  </si>
  <si>
    <t>pNsp_a</t>
  </si>
  <si>
    <t>pNsp_b</t>
  </si>
  <si>
    <t>pNsp_c</t>
  </si>
  <si>
    <t>pNsp_d</t>
  </si>
  <si>
    <t>Legend</t>
  </si>
  <si>
    <t>BGC</t>
  </si>
  <si>
    <t>Biosynthetica gene cluster</t>
  </si>
  <si>
    <t>AER*</t>
  </si>
  <si>
    <t>Circular</t>
  </si>
  <si>
    <t>Known BGC-Chr</t>
  </si>
  <si>
    <t>Known BGC-Pld</t>
  </si>
  <si>
    <r>
      <rPr>
        <i/>
        <sz val="12"/>
        <color theme="1"/>
        <rFont val="Calibri"/>
        <family val="2"/>
        <scheme val="minor"/>
      </rPr>
      <t xml:space="preserve">Trichormus variabilis </t>
    </r>
    <r>
      <rPr>
        <sz val="12"/>
        <color theme="1"/>
        <rFont val="Calibri"/>
        <family val="2"/>
        <scheme val="minor"/>
      </rPr>
      <t>ATCC 29413</t>
    </r>
  </si>
  <si>
    <r>
      <rPr>
        <i/>
        <sz val="12"/>
        <color theme="1"/>
        <rFont val="Calibri"/>
        <family val="2"/>
        <scheme val="minor"/>
      </rPr>
      <t>Acaryochloris marina</t>
    </r>
    <r>
      <rPr>
        <sz val="12"/>
        <color theme="1"/>
        <rFont val="Calibri"/>
        <family val="2"/>
        <scheme val="minor"/>
      </rPr>
      <t xml:space="preserve"> MBIC11017</t>
    </r>
  </si>
  <si>
    <r>
      <rPr>
        <i/>
        <sz val="12"/>
        <color theme="1"/>
        <rFont val="Calibri"/>
        <family val="2"/>
        <scheme val="minor"/>
      </rPr>
      <t>Synechococcus</t>
    </r>
    <r>
      <rPr>
        <sz val="12"/>
        <color theme="1"/>
        <rFont val="Calibri"/>
        <family val="2"/>
        <scheme val="minor"/>
      </rPr>
      <t xml:space="preserve"> sp. PCC 7002</t>
    </r>
  </si>
  <si>
    <r>
      <rPr>
        <i/>
        <sz val="12"/>
        <color theme="1"/>
        <rFont val="Calibri"/>
        <family val="2"/>
        <scheme val="minor"/>
      </rPr>
      <t>Nostoc punctiforme</t>
    </r>
    <r>
      <rPr>
        <sz val="12"/>
        <color theme="1"/>
        <rFont val="Calibri"/>
        <family val="2"/>
        <scheme val="minor"/>
      </rPr>
      <t xml:space="preserve"> PCC 73102</t>
    </r>
  </si>
  <si>
    <r>
      <rPr>
        <i/>
        <sz val="12"/>
        <color theme="1"/>
        <rFont val="Calibri"/>
        <family val="2"/>
        <scheme val="minor"/>
      </rPr>
      <t xml:space="preserve">Gloeothece citriformis </t>
    </r>
    <r>
      <rPr>
        <sz val="12"/>
        <color theme="1"/>
        <rFont val="Calibri"/>
        <family val="2"/>
        <scheme val="minor"/>
      </rPr>
      <t>PCC 7424</t>
    </r>
  </si>
  <si>
    <r>
      <rPr>
        <i/>
        <sz val="12"/>
        <color theme="1"/>
        <rFont val="Calibri"/>
        <family val="2"/>
        <scheme val="minor"/>
      </rPr>
      <t>Gloeothece verrucosa</t>
    </r>
    <r>
      <rPr>
        <sz val="12"/>
        <color theme="1"/>
        <rFont val="Calibri"/>
        <family val="2"/>
        <scheme val="minor"/>
      </rPr>
      <t xml:space="preserve"> PCC 7822</t>
    </r>
  </si>
  <si>
    <r>
      <rPr>
        <i/>
        <sz val="12"/>
        <color theme="1"/>
        <rFont val="Calibri"/>
        <family val="2"/>
        <scheme val="minor"/>
      </rPr>
      <t>Chroococcidiopsis thermalis</t>
    </r>
    <r>
      <rPr>
        <sz val="12"/>
        <color theme="1"/>
        <rFont val="Calibri"/>
        <family val="2"/>
        <scheme val="minor"/>
      </rPr>
      <t xml:space="preserve"> PCC 7203</t>
    </r>
  </si>
  <si>
    <r>
      <rPr>
        <i/>
        <sz val="12"/>
        <color theme="1"/>
        <rFont val="Calibri"/>
        <family val="2"/>
        <scheme val="minor"/>
      </rPr>
      <t>Cylindrospermum stagnale</t>
    </r>
    <r>
      <rPr>
        <sz val="12"/>
        <color theme="1"/>
        <rFont val="Calibri"/>
        <family val="2"/>
        <scheme val="minor"/>
      </rPr>
      <t xml:space="preserve"> PCC 7417</t>
    </r>
  </si>
  <si>
    <r>
      <rPr>
        <i/>
        <sz val="12"/>
        <color theme="1"/>
        <rFont val="Calibri"/>
        <family val="2"/>
        <scheme val="minor"/>
      </rPr>
      <t>Crinalium epipsammum</t>
    </r>
    <r>
      <rPr>
        <sz val="12"/>
        <color theme="1"/>
        <rFont val="Calibri"/>
        <family val="2"/>
        <scheme val="minor"/>
      </rPr>
      <t xml:space="preserve"> PCC 9333</t>
    </r>
  </si>
  <si>
    <r>
      <rPr>
        <i/>
        <sz val="12"/>
        <color theme="1"/>
        <rFont val="Calibri"/>
        <family val="2"/>
        <scheme val="minor"/>
      </rPr>
      <t>Stanieria cyanosphaera</t>
    </r>
    <r>
      <rPr>
        <sz val="12"/>
        <color theme="1"/>
        <rFont val="Calibri"/>
        <family val="2"/>
        <scheme val="minor"/>
      </rPr>
      <t xml:space="preserve"> PCC 7437</t>
    </r>
  </si>
  <si>
    <r>
      <rPr>
        <i/>
        <sz val="12"/>
        <color theme="1"/>
        <rFont val="Calibri"/>
        <family val="2"/>
        <scheme val="minor"/>
      </rPr>
      <t>Calothrix</t>
    </r>
    <r>
      <rPr>
        <sz val="12"/>
        <color theme="1"/>
        <rFont val="Calibri"/>
        <family val="2"/>
        <scheme val="minor"/>
      </rPr>
      <t xml:space="preserve"> sp. PCC 6303</t>
    </r>
  </si>
  <si>
    <r>
      <rPr>
        <i/>
        <sz val="12"/>
        <color theme="1"/>
        <rFont val="Calibri"/>
        <family val="2"/>
        <scheme val="minor"/>
      </rPr>
      <t>Gloeocapsa</t>
    </r>
    <r>
      <rPr>
        <sz val="12"/>
        <color theme="1"/>
        <rFont val="Calibri"/>
        <family val="2"/>
        <scheme val="minor"/>
      </rPr>
      <t xml:space="preserve"> sp. PCC 7428</t>
    </r>
  </si>
  <si>
    <r>
      <rPr>
        <i/>
        <sz val="12"/>
        <color theme="1"/>
        <rFont val="Calibri"/>
        <family val="2"/>
        <scheme val="minor"/>
      </rPr>
      <t>Anabaena cylindrica</t>
    </r>
    <r>
      <rPr>
        <sz val="12"/>
        <color theme="1"/>
        <rFont val="Calibri"/>
        <family val="2"/>
        <scheme val="minor"/>
      </rPr>
      <t xml:space="preserve"> PCC 7122</t>
    </r>
  </si>
  <si>
    <r>
      <rPr>
        <i/>
        <sz val="12"/>
        <color theme="1"/>
        <rFont val="Calibri"/>
        <family val="2"/>
        <scheme val="minor"/>
      </rPr>
      <t>Planktothrix agardhii</t>
    </r>
    <r>
      <rPr>
        <sz val="12"/>
        <color theme="1"/>
        <rFont val="Calibri"/>
        <family val="2"/>
        <scheme val="minor"/>
      </rPr>
      <t xml:space="preserve"> NIVA-CYA 126/8</t>
    </r>
  </si>
  <si>
    <r>
      <rPr>
        <i/>
        <sz val="12"/>
        <color theme="1"/>
        <rFont val="Calibri"/>
        <family val="2"/>
        <scheme val="minor"/>
      </rPr>
      <t>Leptolyngbya boryana</t>
    </r>
    <r>
      <rPr>
        <sz val="12"/>
        <color theme="1"/>
        <rFont val="Calibri"/>
        <family val="2"/>
        <scheme val="minor"/>
      </rPr>
      <t xml:space="preserve"> IAM M-101</t>
    </r>
  </si>
  <si>
    <r>
      <rPr>
        <i/>
        <sz val="12"/>
        <color theme="1"/>
        <rFont val="Calibri"/>
        <family val="2"/>
        <scheme val="minor"/>
      </rPr>
      <t>Anabaena</t>
    </r>
    <r>
      <rPr>
        <sz val="12"/>
        <color theme="1"/>
        <rFont val="Calibri"/>
        <family val="2"/>
        <scheme val="minor"/>
      </rPr>
      <t xml:space="preserve"> sp. WA102</t>
    </r>
  </si>
  <si>
    <r>
      <rPr>
        <i/>
        <sz val="12"/>
        <color theme="1"/>
        <rFont val="Calibri"/>
        <family val="2"/>
        <scheme val="minor"/>
      </rPr>
      <t>Nostoc</t>
    </r>
    <r>
      <rPr>
        <sz val="12"/>
        <color theme="1"/>
        <rFont val="Calibri"/>
        <family val="2"/>
        <scheme val="minor"/>
      </rPr>
      <t xml:space="preserve"> sp. NIES-3756</t>
    </r>
  </si>
  <si>
    <r>
      <rPr>
        <i/>
        <sz val="12"/>
        <color theme="1"/>
        <rFont val="Calibri"/>
        <family val="2"/>
        <scheme val="minor"/>
      </rPr>
      <t>Leptolyngbya</t>
    </r>
    <r>
      <rPr>
        <sz val="12"/>
        <color theme="1"/>
        <rFont val="Calibri"/>
        <family val="2"/>
        <scheme val="minor"/>
      </rPr>
      <t xml:space="preserve"> sp. NIES-3755</t>
    </r>
  </si>
  <si>
    <r>
      <rPr>
        <i/>
        <sz val="12"/>
        <color theme="1"/>
        <rFont val="Calibri"/>
        <family val="2"/>
        <scheme val="minor"/>
      </rPr>
      <t>Synechococcus</t>
    </r>
    <r>
      <rPr>
        <sz val="12"/>
        <color theme="1"/>
        <rFont val="Calibri"/>
        <family val="2"/>
        <scheme val="minor"/>
      </rPr>
      <t xml:space="preserve"> sp. PCC 7117</t>
    </r>
  </si>
  <si>
    <r>
      <rPr>
        <i/>
        <sz val="12"/>
        <color theme="1"/>
        <rFont val="Calibri"/>
        <family val="2"/>
        <scheme val="minor"/>
      </rPr>
      <t>Cylindrospermum</t>
    </r>
    <r>
      <rPr>
        <sz val="12"/>
        <color theme="1"/>
        <rFont val="Calibri"/>
        <family val="2"/>
        <scheme val="minor"/>
      </rPr>
      <t xml:space="preserve"> sp. NIES-4074</t>
    </r>
  </si>
  <si>
    <r>
      <rPr>
        <i/>
        <sz val="12"/>
        <color theme="1"/>
        <rFont val="Calibri"/>
        <family val="2"/>
        <scheme val="minor"/>
      </rPr>
      <t>Scytonema</t>
    </r>
    <r>
      <rPr>
        <sz val="12"/>
        <color theme="1"/>
        <rFont val="Calibri"/>
        <family val="2"/>
        <scheme val="minor"/>
      </rPr>
      <t xml:space="preserve"> sp. NIES-4073</t>
    </r>
  </si>
  <si>
    <r>
      <rPr>
        <i/>
        <sz val="12"/>
        <color theme="1"/>
        <rFont val="Calibri"/>
        <family val="2"/>
        <scheme val="minor"/>
      </rPr>
      <t>Calothrix brevissima</t>
    </r>
    <r>
      <rPr>
        <sz val="12"/>
        <color theme="1"/>
        <rFont val="Calibri"/>
        <family val="2"/>
        <scheme val="minor"/>
      </rPr>
      <t xml:space="preserve"> NIES-22</t>
    </r>
  </si>
  <si>
    <r>
      <rPr>
        <i/>
        <sz val="12"/>
        <color theme="1"/>
        <rFont val="Calibri"/>
        <family val="2"/>
        <scheme val="minor"/>
      </rPr>
      <t>Nostoc linckia</t>
    </r>
    <r>
      <rPr>
        <sz val="12"/>
        <color theme="1"/>
        <rFont val="Calibri"/>
        <family val="2"/>
        <scheme val="minor"/>
      </rPr>
      <t xml:space="preserve"> NIES-25</t>
    </r>
  </si>
  <si>
    <r>
      <rPr>
        <i/>
        <sz val="12"/>
        <color theme="1"/>
        <rFont val="Calibri"/>
        <family val="2"/>
        <scheme val="minor"/>
      </rPr>
      <t>Aulosira laxa</t>
    </r>
    <r>
      <rPr>
        <sz val="12"/>
        <color theme="1"/>
        <rFont val="Calibri"/>
        <family val="2"/>
        <scheme val="minor"/>
      </rPr>
      <t xml:space="preserve"> NIES-50</t>
    </r>
  </si>
  <si>
    <r>
      <rPr>
        <i/>
        <sz val="12"/>
        <color theme="1"/>
        <rFont val="Calibri"/>
        <family val="2"/>
        <scheme val="minor"/>
      </rPr>
      <t>Nostoc carneum</t>
    </r>
    <r>
      <rPr>
        <sz val="12"/>
        <color theme="1"/>
        <rFont val="Calibri"/>
        <family val="2"/>
        <scheme val="minor"/>
      </rPr>
      <t xml:space="preserve"> NIES-2107</t>
    </r>
  </si>
  <si>
    <r>
      <rPr>
        <i/>
        <sz val="12"/>
        <color theme="1"/>
        <rFont val="Calibri"/>
        <family val="2"/>
        <scheme val="minor"/>
      </rPr>
      <t xml:space="preserve">Fremyella diplosiphon </t>
    </r>
    <r>
      <rPr>
        <sz val="12"/>
        <color theme="1"/>
        <rFont val="Calibri"/>
        <family val="2"/>
        <scheme val="minor"/>
      </rPr>
      <t>NIES-3275</t>
    </r>
  </si>
  <si>
    <r>
      <rPr>
        <i/>
        <sz val="12"/>
        <color theme="1"/>
        <rFont val="Calibri"/>
        <family val="2"/>
        <scheme val="minor"/>
      </rPr>
      <t>Calothrix</t>
    </r>
    <r>
      <rPr>
        <sz val="12"/>
        <color theme="1"/>
        <rFont val="Calibri"/>
        <family val="2"/>
        <scheme val="minor"/>
      </rPr>
      <t xml:space="preserve"> sp. NIES-4071</t>
    </r>
  </si>
  <si>
    <r>
      <rPr>
        <i/>
        <sz val="12"/>
        <color theme="1"/>
        <rFont val="Calibri"/>
        <family val="2"/>
        <scheme val="minor"/>
      </rPr>
      <t>Leptolyngbya boryana</t>
    </r>
    <r>
      <rPr>
        <sz val="12"/>
        <color theme="1"/>
        <rFont val="Calibri"/>
        <family val="2"/>
        <scheme val="minor"/>
      </rPr>
      <t xml:space="preserve"> NIES-2135</t>
    </r>
  </si>
  <si>
    <r>
      <rPr>
        <i/>
        <sz val="12"/>
        <color theme="1"/>
        <rFont val="Calibri"/>
        <family val="2"/>
        <scheme val="minor"/>
      </rPr>
      <t xml:space="preserve">Calothrix </t>
    </r>
    <r>
      <rPr>
        <sz val="12"/>
        <color theme="1"/>
        <rFont val="Calibri"/>
        <family val="2"/>
        <scheme val="minor"/>
      </rPr>
      <t>sp. NIES-4101</t>
    </r>
  </si>
  <si>
    <r>
      <rPr>
        <i/>
        <sz val="12"/>
        <color theme="1"/>
        <rFont val="Calibri"/>
        <family val="2"/>
        <scheme val="minor"/>
      </rPr>
      <t>Calothrix</t>
    </r>
    <r>
      <rPr>
        <sz val="12"/>
        <color theme="1"/>
        <rFont val="Calibri"/>
        <family val="2"/>
        <scheme val="minor"/>
      </rPr>
      <t xml:space="preserve"> sp. NIES-4105</t>
    </r>
  </si>
  <si>
    <r>
      <rPr>
        <i/>
        <sz val="12"/>
        <color theme="1"/>
        <rFont val="Calibri"/>
        <family val="2"/>
        <scheme val="minor"/>
      </rPr>
      <t xml:space="preserve">Nostoc </t>
    </r>
    <r>
      <rPr>
        <sz val="12"/>
        <color theme="1"/>
        <rFont val="Calibri"/>
        <family val="2"/>
        <scheme val="minor"/>
      </rPr>
      <t>sp. NIES-2111</t>
    </r>
  </si>
  <si>
    <r>
      <rPr>
        <i/>
        <sz val="12"/>
        <color theme="1"/>
        <rFont val="Calibri"/>
        <family val="2"/>
        <scheme val="minor"/>
      </rPr>
      <t>Nostoc flagelliforme</t>
    </r>
    <r>
      <rPr>
        <sz val="12"/>
        <color theme="1"/>
        <rFont val="Calibri"/>
        <family val="2"/>
        <scheme val="minor"/>
      </rPr>
      <t xml:space="preserve"> CCNUN1</t>
    </r>
  </si>
  <si>
    <r>
      <rPr>
        <i/>
        <sz val="12"/>
        <color theme="1"/>
        <rFont val="Calibri"/>
        <family val="2"/>
        <scheme val="minor"/>
      </rPr>
      <t>Pseudanabaena</t>
    </r>
    <r>
      <rPr>
        <sz val="12"/>
        <color theme="1"/>
        <rFont val="Calibri"/>
        <family val="2"/>
        <scheme val="minor"/>
      </rPr>
      <t xml:space="preserve"> sp. ABRG5-3</t>
    </r>
  </si>
  <si>
    <r>
      <rPr>
        <i/>
        <sz val="12"/>
        <color theme="1"/>
        <rFont val="Calibri"/>
        <family val="2"/>
        <scheme val="minor"/>
      </rPr>
      <t>Nostoc</t>
    </r>
    <r>
      <rPr>
        <sz val="12"/>
        <color theme="1"/>
        <rFont val="Calibri"/>
        <family val="2"/>
        <scheme val="minor"/>
      </rPr>
      <t xml:space="preserve"> sp. '</t>
    </r>
    <r>
      <rPr>
        <i/>
        <sz val="12"/>
        <color theme="1"/>
        <rFont val="Calibri"/>
        <family val="2"/>
        <scheme val="minor"/>
      </rPr>
      <t>Lobaria pulmonaria</t>
    </r>
    <r>
      <rPr>
        <sz val="12"/>
        <color theme="1"/>
        <rFont val="Calibri"/>
        <family val="2"/>
        <scheme val="minor"/>
      </rPr>
      <t xml:space="preserve"> (5183) cyanobiont'</t>
    </r>
  </si>
  <si>
    <r>
      <rPr>
        <i/>
        <sz val="12"/>
        <color theme="1"/>
        <rFont val="Calibri"/>
        <family val="2"/>
        <scheme val="minor"/>
      </rPr>
      <t>Planktothrix agardhii</t>
    </r>
    <r>
      <rPr>
        <sz val="12"/>
        <color theme="1"/>
        <rFont val="Calibri"/>
        <family val="2"/>
        <scheme val="minor"/>
      </rPr>
      <t xml:space="preserve"> NIES-204</t>
    </r>
  </si>
  <si>
    <r>
      <rPr>
        <i/>
        <sz val="12"/>
        <color theme="1"/>
        <rFont val="Calibri"/>
        <family val="2"/>
        <scheme val="minor"/>
      </rPr>
      <t xml:space="preserve">Synechococcus </t>
    </r>
    <r>
      <rPr>
        <sz val="12"/>
        <color theme="1"/>
        <rFont val="Calibri"/>
        <family val="2"/>
        <scheme val="minor"/>
      </rPr>
      <t>sp. PCC 11901</t>
    </r>
  </si>
  <si>
    <r>
      <rPr>
        <i/>
        <sz val="12"/>
        <color theme="1"/>
        <rFont val="Calibri"/>
        <family val="2"/>
        <scheme val="minor"/>
      </rPr>
      <t>Nostoc sphaeroides</t>
    </r>
    <r>
      <rPr>
        <sz val="12"/>
        <color theme="1"/>
        <rFont val="Calibri"/>
        <family val="2"/>
        <scheme val="minor"/>
      </rPr>
      <t xml:space="preserve"> CCNUC1</t>
    </r>
  </si>
  <si>
    <r>
      <rPr>
        <i/>
        <sz val="12"/>
        <color theme="1"/>
        <rFont val="Calibri"/>
        <family val="2"/>
        <scheme val="minor"/>
      </rPr>
      <t>Nostoc</t>
    </r>
    <r>
      <rPr>
        <sz val="12"/>
        <color theme="1"/>
        <rFont val="Calibri"/>
        <family val="2"/>
        <scheme val="minor"/>
      </rPr>
      <t xml:space="preserve"> sp. ATCC 53789</t>
    </r>
  </si>
  <si>
    <r>
      <rPr>
        <i/>
        <sz val="12"/>
        <color theme="1"/>
        <rFont val="Calibri"/>
        <family val="2"/>
        <scheme val="minor"/>
      </rPr>
      <t>Cyanothece</t>
    </r>
    <r>
      <rPr>
        <sz val="12"/>
        <color theme="1"/>
        <rFont val="Calibri"/>
        <family val="2"/>
        <scheme val="minor"/>
      </rPr>
      <t xml:space="preserve"> sp. PCC 7425</t>
    </r>
  </si>
  <si>
    <r>
      <rPr>
        <i/>
        <sz val="12"/>
        <color theme="1"/>
        <rFont val="Calibri"/>
        <family val="2"/>
        <scheme val="minor"/>
      </rPr>
      <t xml:space="preserve">Nostoc </t>
    </r>
    <r>
      <rPr>
        <sz val="12"/>
        <color theme="1"/>
        <rFont val="Calibri"/>
        <family val="2"/>
        <scheme val="minor"/>
      </rPr>
      <t>sp. PCC 7120 = FACHB-418</t>
    </r>
  </si>
  <si>
    <r>
      <rPr>
        <i/>
        <sz val="12"/>
        <color theme="1"/>
        <rFont val="Calibri"/>
        <family val="2"/>
        <scheme val="minor"/>
      </rPr>
      <t>Synechocystis</t>
    </r>
    <r>
      <rPr>
        <sz val="12"/>
        <color theme="1"/>
        <rFont val="Calibri"/>
        <family val="2"/>
        <scheme val="minor"/>
      </rPr>
      <t xml:space="preserve"> sp. PCC 6803</t>
    </r>
  </si>
  <si>
    <r>
      <rPr>
        <i/>
        <sz val="12"/>
        <color theme="1"/>
        <rFont val="Calibri"/>
        <family val="2"/>
        <scheme val="minor"/>
      </rPr>
      <t>Thermosynechococcus elongatus</t>
    </r>
    <r>
      <rPr>
        <sz val="12"/>
        <color theme="1"/>
        <rFont val="Calibri"/>
        <family val="2"/>
        <scheme val="minor"/>
      </rPr>
      <t xml:space="preserve"> BP-1</t>
    </r>
  </si>
  <si>
    <r>
      <rPr>
        <i/>
        <sz val="12"/>
        <color theme="1"/>
        <rFont val="Calibri"/>
        <family val="2"/>
        <scheme val="minor"/>
      </rPr>
      <t>Prochlorococcus marinus</t>
    </r>
    <r>
      <rPr>
        <sz val="12"/>
        <color theme="1"/>
        <rFont val="Calibri"/>
        <family val="2"/>
        <scheme val="minor"/>
      </rPr>
      <t xml:space="preserve"> subsp. </t>
    </r>
    <r>
      <rPr>
        <i/>
        <sz val="12"/>
        <color theme="1"/>
        <rFont val="Calibri"/>
        <family val="2"/>
        <scheme val="minor"/>
      </rPr>
      <t>marinus</t>
    </r>
    <r>
      <rPr>
        <sz val="12"/>
        <color theme="1"/>
        <rFont val="Calibri"/>
        <family val="2"/>
        <scheme val="minor"/>
      </rPr>
      <t xml:space="preserve"> str. CCMP1375</t>
    </r>
  </si>
  <si>
    <r>
      <rPr>
        <i/>
        <sz val="12"/>
        <color theme="1"/>
        <rFont val="Calibri"/>
        <family val="2"/>
        <scheme val="minor"/>
      </rPr>
      <t>Prochlorococcus marinus</t>
    </r>
    <r>
      <rPr>
        <sz val="12"/>
        <color theme="1"/>
        <rFont val="Calibri"/>
        <family val="2"/>
        <scheme val="minor"/>
      </rPr>
      <t xml:space="preserve"> subsp. </t>
    </r>
    <r>
      <rPr>
        <i/>
        <sz val="12"/>
        <color theme="1"/>
        <rFont val="Calibri"/>
        <family val="2"/>
        <scheme val="minor"/>
      </rPr>
      <t>pastoris</t>
    </r>
    <r>
      <rPr>
        <sz val="12"/>
        <color theme="1"/>
        <rFont val="Calibri"/>
        <family val="2"/>
        <scheme val="minor"/>
      </rPr>
      <t xml:space="preserve"> str. CCMP1986</t>
    </r>
  </si>
  <si>
    <r>
      <rPr>
        <i/>
        <sz val="12"/>
        <color theme="1"/>
        <rFont val="Calibri"/>
        <family val="2"/>
        <scheme val="minor"/>
      </rPr>
      <t>Prochlorococcus marinus</t>
    </r>
    <r>
      <rPr>
        <sz val="12"/>
        <color theme="1"/>
        <rFont val="Calibri"/>
        <family val="2"/>
        <scheme val="minor"/>
      </rPr>
      <t xml:space="preserve"> str. MIT 9313</t>
    </r>
  </si>
  <si>
    <r>
      <rPr>
        <i/>
        <sz val="12"/>
        <color theme="1"/>
        <rFont val="Calibri"/>
        <family val="2"/>
        <scheme val="minor"/>
      </rPr>
      <t>Synechococcus</t>
    </r>
    <r>
      <rPr>
        <sz val="12"/>
        <color theme="1"/>
        <rFont val="Calibri"/>
        <family val="2"/>
        <scheme val="minor"/>
      </rPr>
      <t xml:space="preserve"> sp. WH 8102</t>
    </r>
  </si>
  <si>
    <r>
      <rPr>
        <i/>
        <sz val="12"/>
        <color theme="1"/>
        <rFont val="Calibri"/>
        <family val="2"/>
        <scheme val="minor"/>
      </rPr>
      <t>Gloeobacter violaceus</t>
    </r>
    <r>
      <rPr>
        <sz val="12"/>
        <color theme="1"/>
        <rFont val="Calibri"/>
        <family val="2"/>
        <scheme val="minor"/>
      </rPr>
      <t xml:space="preserve"> PCC 7421</t>
    </r>
  </si>
  <si>
    <r>
      <rPr>
        <i/>
        <sz val="12"/>
        <color theme="1"/>
        <rFont val="Calibri"/>
        <family val="2"/>
        <scheme val="minor"/>
      </rPr>
      <t>Synechococcus elongatus</t>
    </r>
    <r>
      <rPr>
        <sz val="12"/>
        <color theme="1"/>
        <rFont val="Calibri"/>
        <family val="2"/>
        <scheme val="minor"/>
      </rPr>
      <t xml:space="preserve"> PCC 6301</t>
    </r>
  </si>
  <si>
    <r>
      <rPr>
        <i/>
        <sz val="12"/>
        <color theme="1"/>
        <rFont val="Calibri"/>
        <family val="2"/>
        <scheme val="minor"/>
      </rPr>
      <t>Prochlorococcus marinus</t>
    </r>
    <r>
      <rPr>
        <sz val="12"/>
        <color theme="1"/>
        <rFont val="Calibri"/>
        <family val="2"/>
        <scheme val="minor"/>
      </rPr>
      <t xml:space="preserve"> str. NATL2A</t>
    </r>
  </si>
  <si>
    <r>
      <rPr>
        <i/>
        <sz val="12"/>
        <color theme="1"/>
        <rFont val="Calibri"/>
        <family val="2"/>
        <scheme val="minor"/>
      </rPr>
      <t>Trichormus variabilis</t>
    </r>
    <r>
      <rPr>
        <sz val="12"/>
        <color theme="1"/>
        <rFont val="Calibri"/>
        <family val="2"/>
        <scheme val="minor"/>
      </rPr>
      <t xml:space="preserve"> ATCC 29413</t>
    </r>
  </si>
  <si>
    <r>
      <rPr>
        <i/>
        <sz val="12"/>
        <color theme="1"/>
        <rFont val="Calibri"/>
        <family val="2"/>
        <scheme val="minor"/>
      </rPr>
      <t>Synechococcus</t>
    </r>
    <r>
      <rPr>
        <sz val="12"/>
        <color theme="1"/>
        <rFont val="Calibri"/>
        <family val="2"/>
        <scheme val="minor"/>
      </rPr>
      <t xml:space="preserve"> sp. CC9902</t>
    </r>
  </si>
  <si>
    <r>
      <rPr>
        <i/>
        <sz val="12"/>
        <color theme="1"/>
        <rFont val="Calibri"/>
        <family val="2"/>
        <scheme val="minor"/>
      </rPr>
      <t>Synechococcus</t>
    </r>
    <r>
      <rPr>
        <sz val="12"/>
        <color theme="1"/>
        <rFont val="Calibri"/>
        <family val="2"/>
        <scheme val="minor"/>
      </rPr>
      <t xml:space="preserve"> sp. CC9605</t>
    </r>
  </si>
  <si>
    <r>
      <rPr>
        <i/>
        <sz val="12"/>
        <color theme="1"/>
        <rFont val="Calibri"/>
        <family val="2"/>
        <scheme val="minor"/>
      </rPr>
      <t>Prochlorococcus marinus</t>
    </r>
    <r>
      <rPr>
        <sz val="12"/>
        <color theme="1"/>
        <rFont val="Calibri"/>
        <family val="2"/>
        <scheme val="minor"/>
      </rPr>
      <t xml:space="preserve"> str. MIT 9312</t>
    </r>
  </si>
  <si>
    <r>
      <rPr>
        <i/>
        <sz val="12"/>
        <color theme="1"/>
        <rFont val="Calibri"/>
        <family val="2"/>
        <scheme val="minor"/>
      </rPr>
      <t xml:space="preserve">Synechococcus elongatus </t>
    </r>
    <r>
      <rPr>
        <sz val="12"/>
        <color theme="1"/>
        <rFont val="Calibri"/>
        <family val="2"/>
        <scheme val="minor"/>
      </rPr>
      <t>PCC 7942 = FACHB-805</t>
    </r>
  </si>
  <si>
    <r>
      <rPr>
        <i/>
        <sz val="12"/>
        <color theme="1"/>
        <rFont val="Calibri"/>
        <family val="2"/>
        <scheme val="minor"/>
      </rPr>
      <t>Synechococcus</t>
    </r>
    <r>
      <rPr>
        <sz val="12"/>
        <color theme="1"/>
        <rFont val="Calibri"/>
        <family val="2"/>
        <scheme val="minor"/>
      </rPr>
      <t xml:space="preserve"> sp. JA-2-3B'a(2-13)</t>
    </r>
  </si>
  <si>
    <r>
      <rPr>
        <i/>
        <sz val="12"/>
        <color theme="1"/>
        <rFont val="Calibri"/>
        <family val="2"/>
        <scheme val="minor"/>
      </rPr>
      <t>Synechococcus</t>
    </r>
    <r>
      <rPr>
        <sz val="12"/>
        <color theme="1"/>
        <rFont val="Calibri"/>
        <family val="2"/>
        <scheme val="minor"/>
      </rPr>
      <t xml:space="preserve"> sp. JA-3-3Ab</t>
    </r>
  </si>
  <si>
    <r>
      <rPr>
        <i/>
        <sz val="12"/>
        <color theme="1"/>
        <rFont val="Calibri"/>
        <family val="2"/>
        <scheme val="minor"/>
      </rPr>
      <t>Trichodesmium erythraeum</t>
    </r>
    <r>
      <rPr>
        <sz val="12"/>
        <color theme="1"/>
        <rFont val="Calibri"/>
        <family val="2"/>
        <scheme val="minor"/>
      </rPr>
      <t xml:space="preserve"> IMS101</t>
    </r>
  </si>
  <si>
    <r>
      <rPr>
        <i/>
        <sz val="12"/>
        <color theme="1"/>
        <rFont val="Calibri"/>
        <family val="2"/>
        <scheme val="minor"/>
      </rPr>
      <t>Synechococcus</t>
    </r>
    <r>
      <rPr>
        <sz val="12"/>
        <color theme="1"/>
        <rFont val="Calibri"/>
        <family val="2"/>
        <scheme val="minor"/>
      </rPr>
      <t xml:space="preserve"> sp. CC9311</t>
    </r>
  </si>
  <si>
    <r>
      <rPr>
        <i/>
        <sz val="12"/>
        <color theme="1"/>
        <rFont val="Calibri"/>
        <family val="2"/>
        <scheme val="minor"/>
      </rPr>
      <t xml:space="preserve">Prochlorococcus marinus </t>
    </r>
    <r>
      <rPr>
        <sz val="12"/>
        <color theme="1"/>
        <rFont val="Calibri"/>
        <family val="2"/>
        <scheme val="minor"/>
      </rPr>
      <t>str. AS9601</t>
    </r>
  </si>
  <si>
    <r>
      <rPr>
        <i/>
        <sz val="12"/>
        <color theme="1"/>
        <rFont val="Calibri"/>
        <family val="2"/>
        <scheme val="minor"/>
      </rPr>
      <t>Prochlorococcus marinus</t>
    </r>
    <r>
      <rPr>
        <sz val="12"/>
        <color theme="1"/>
        <rFont val="Calibri"/>
        <family val="2"/>
        <scheme val="minor"/>
      </rPr>
      <t xml:space="preserve"> str. MIT 9515</t>
    </r>
  </si>
  <si>
    <r>
      <rPr>
        <i/>
        <sz val="12"/>
        <color theme="1"/>
        <rFont val="Calibri"/>
        <family val="2"/>
        <scheme val="minor"/>
      </rPr>
      <t>Prochlorococcus marinus</t>
    </r>
    <r>
      <rPr>
        <sz val="12"/>
        <color theme="1"/>
        <rFont val="Calibri"/>
        <family val="2"/>
        <scheme val="minor"/>
      </rPr>
      <t xml:space="preserve"> str. NATL1A</t>
    </r>
  </si>
  <si>
    <r>
      <rPr>
        <i/>
        <sz val="12"/>
        <color theme="1"/>
        <rFont val="Calibri"/>
        <family val="2"/>
        <scheme val="minor"/>
      </rPr>
      <t>Prochlorococcus marinus</t>
    </r>
    <r>
      <rPr>
        <sz val="12"/>
        <color theme="1"/>
        <rFont val="Calibri"/>
        <family val="2"/>
        <scheme val="minor"/>
      </rPr>
      <t xml:space="preserve"> str. MIT 9303</t>
    </r>
  </si>
  <si>
    <r>
      <rPr>
        <i/>
        <sz val="12"/>
        <color theme="1"/>
        <rFont val="Calibri"/>
        <family val="2"/>
        <scheme val="minor"/>
      </rPr>
      <t>Prochlorococcus marinus</t>
    </r>
    <r>
      <rPr>
        <sz val="12"/>
        <color theme="1"/>
        <rFont val="Calibri"/>
        <family val="2"/>
        <scheme val="minor"/>
      </rPr>
      <t xml:space="preserve"> str. MIT 9301</t>
    </r>
  </si>
  <si>
    <r>
      <rPr>
        <i/>
        <sz val="12"/>
        <color theme="1"/>
        <rFont val="Calibri"/>
        <family val="2"/>
        <scheme val="minor"/>
      </rPr>
      <t>Synechococcus</t>
    </r>
    <r>
      <rPr>
        <sz val="12"/>
        <color theme="1"/>
        <rFont val="Calibri"/>
        <family val="2"/>
        <scheme val="minor"/>
      </rPr>
      <t xml:space="preserve"> sp. RCC307</t>
    </r>
  </si>
  <si>
    <r>
      <rPr>
        <i/>
        <sz val="12"/>
        <color theme="1"/>
        <rFont val="Calibri"/>
        <family val="2"/>
        <scheme val="minor"/>
      </rPr>
      <t xml:space="preserve">Prochlorococcus marinus </t>
    </r>
    <r>
      <rPr>
        <sz val="12"/>
        <color theme="1"/>
        <rFont val="Calibri"/>
        <family val="2"/>
        <scheme val="minor"/>
      </rPr>
      <t>str. MIT 9215</t>
    </r>
  </si>
  <si>
    <r>
      <rPr>
        <i/>
        <sz val="12"/>
        <color theme="1"/>
        <rFont val="Calibri"/>
        <family val="2"/>
        <scheme val="minor"/>
      </rPr>
      <t>Prochlorococcus marinus</t>
    </r>
    <r>
      <rPr>
        <sz val="12"/>
        <color theme="1"/>
        <rFont val="Calibri"/>
        <family val="2"/>
        <scheme val="minor"/>
      </rPr>
      <t xml:space="preserve"> str. MIT 9211</t>
    </r>
  </si>
  <si>
    <r>
      <rPr>
        <i/>
        <sz val="12"/>
        <color theme="1"/>
        <rFont val="Calibri"/>
        <family val="2"/>
        <scheme val="minor"/>
      </rPr>
      <t xml:space="preserve">Microcystis aeruginosa </t>
    </r>
    <r>
      <rPr>
        <sz val="12"/>
        <color theme="1"/>
        <rFont val="Calibri"/>
        <family val="2"/>
        <scheme val="minor"/>
      </rPr>
      <t>NIES-843</t>
    </r>
  </si>
  <si>
    <r>
      <rPr>
        <i/>
        <sz val="12"/>
        <color theme="1"/>
        <rFont val="Calibri"/>
        <family val="2"/>
        <scheme val="minor"/>
      </rPr>
      <t>Crocosphaera subtropica</t>
    </r>
    <r>
      <rPr>
        <sz val="12"/>
        <color theme="1"/>
        <rFont val="Calibri"/>
        <family val="2"/>
        <scheme val="minor"/>
      </rPr>
      <t xml:space="preserve"> ATCC 51142</t>
    </r>
  </si>
  <si>
    <r>
      <rPr>
        <i/>
        <sz val="12"/>
        <color theme="1"/>
        <rFont val="Calibri"/>
        <family val="2"/>
        <scheme val="minor"/>
      </rPr>
      <t>Rippkaea orientalis</t>
    </r>
    <r>
      <rPr>
        <sz val="12"/>
        <color theme="1"/>
        <rFont val="Calibri"/>
        <family val="2"/>
        <scheme val="minor"/>
      </rPr>
      <t xml:space="preserve"> PCC 8801</t>
    </r>
  </si>
  <si>
    <r>
      <rPr>
        <i/>
        <sz val="12"/>
        <color theme="1"/>
        <rFont val="Calibri"/>
        <family val="2"/>
        <scheme val="minor"/>
      </rPr>
      <t>Gloeothece citriformis</t>
    </r>
    <r>
      <rPr>
        <sz val="12"/>
        <color theme="1"/>
        <rFont val="Calibri"/>
        <family val="2"/>
        <scheme val="minor"/>
      </rPr>
      <t xml:space="preserve"> PCC 7424</t>
    </r>
  </si>
  <si>
    <r>
      <rPr>
        <i/>
        <sz val="12"/>
        <color theme="1"/>
        <rFont val="Calibri"/>
        <family val="2"/>
        <scheme val="minor"/>
      </rPr>
      <t xml:space="preserve">Rippkaea orientalis </t>
    </r>
    <r>
      <rPr>
        <sz val="12"/>
        <color theme="1"/>
        <rFont val="Calibri"/>
        <family val="2"/>
        <scheme val="minor"/>
      </rPr>
      <t>PCC 8802</t>
    </r>
  </si>
  <si>
    <r>
      <t xml:space="preserve">Candidatus </t>
    </r>
    <r>
      <rPr>
        <i/>
        <sz val="12"/>
        <color theme="1"/>
        <rFont val="Calibri"/>
        <family val="2"/>
        <scheme val="minor"/>
      </rPr>
      <t>Atelocyanobacterium thalassa</t>
    </r>
    <r>
      <rPr>
        <sz val="12"/>
        <color theme="1"/>
        <rFont val="Calibri"/>
        <family val="2"/>
        <scheme val="minor"/>
      </rPr>
      <t xml:space="preserve"> isolate ALOHA</t>
    </r>
  </si>
  <si>
    <r>
      <rPr>
        <i/>
        <sz val="12"/>
        <color theme="1"/>
        <rFont val="Calibri"/>
        <family val="2"/>
        <scheme val="minor"/>
      </rPr>
      <t>Arthrospira platensis</t>
    </r>
    <r>
      <rPr>
        <sz val="12"/>
        <color theme="1"/>
        <rFont val="Calibri"/>
        <family val="2"/>
        <scheme val="minor"/>
      </rPr>
      <t xml:space="preserve"> NIES-39</t>
    </r>
  </si>
  <si>
    <r>
      <rPr>
        <i/>
        <sz val="12"/>
        <color theme="1"/>
        <rFont val="Calibri"/>
        <family val="2"/>
        <scheme val="minor"/>
      </rPr>
      <t>Nostoc azollae</t>
    </r>
    <r>
      <rPr>
        <sz val="12"/>
        <color theme="1"/>
        <rFont val="Calibri"/>
        <family val="2"/>
        <scheme val="minor"/>
      </rPr>
      <t xml:space="preserve"> 0708</t>
    </r>
  </si>
  <si>
    <r>
      <rPr>
        <i/>
        <sz val="12"/>
        <color theme="1"/>
        <rFont val="Calibri"/>
        <family val="2"/>
        <scheme val="minor"/>
      </rPr>
      <t>Synechocystis</t>
    </r>
    <r>
      <rPr>
        <sz val="12"/>
        <color theme="1"/>
        <rFont val="Calibri"/>
        <family val="2"/>
        <scheme val="minor"/>
      </rPr>
      <t xml:space="preserve"> sp. PCC 6803 (GT-S)</t>
    </r>
  </si>
  <si>
    <r>
      <rPr>
        <i/>
        <sz val="12"/>
        <color theme="1"/>
        <rFont val="Calibri"/>
        <family val="2"/>
        <scheme val="minor"/>
      </rPr>
      <t xml:space="preserve">Synechocystis </t>
    </r>
    <r>
      <rPr>
        <sz val="12"/>
        <color theme="1"/>
        <rFont val="Calibri"/>
        <family val="2"/>
        <scheme val="minor"/>
      </rPr>
      <t>sp. PCC 6803 substr. PCC-N</t>
    </r>
  </si>
  <si>
    <r>
      <rPr>
        <i/>
        <sz val="12"/>
        <color theme="1"/>
        <rFont val="Calibri"/>
        <family val="2"/>
        <scheme val="minor"/>
      </rPr>
      <t>Synechocystis</t>
    </r>
    <r>
      <rPr>
        <sz val="12"/>
        <color theme="1"/>
        <rFont val="Calibri"/>
        <family val="2"/>
        <scheme val="minor"/>
      </rPr>
      <t xml:space="preserve"> sp. PCC 6803 substr. GT-I</t>
    </r>
  </si>
  <si>
    <r>
      <rPr>
        <i/>
        <sz val="12"/>
        <color theme="1"/>
        <rFont val="Calibri"/>
        <family val="2"/>
        <scheme val="minor"/>
      </rPr>
      <t>Synechocystis</t>
    </r>
    <r>
      <rPr>
        <sz val="12"/>
        <color theme="1"/>
        <rFont val="Calibri"/>
        <family val="2"/>
        <scheme val="minor"/>
      </rPr>
      <t xml:space="preserve"> sp. PCC 6803 substr. PCC-P</t>
    </r>
  </si>
  <si>
    <r>
      <rPr>
        <i/>
        <sz val="12"/>
        <color theme="1"/>
        <rFont val="Calibri"/>
        <family val="2"/>
        <scheme val="minor"/>
      </rPr>
      <t>Arthrospira platensis</t>
    </r>
    <r>
      <rPr>
        <sz val="12"/>
        <color theme="1"/>
        <rFont val="Calibri"/>
        <family val="2"/>
        <scheme val="minor"/>
      </rPr>
      <t xml:space="preserve"> C1</t>
    </r>
  </si>
  <si>
    <r>
      <rPr>
        <i/>
        <sz val="12"/>
        <color theme="1"/>
        <rFont val="Calibri"/>
        <family val="2"/>
        <scheme val="minor"/>
      </rPr>
      <t xml:space="preserve">Cyanobium gracile </t>
    </r>
    <r>
      <rPr>
        <sz val="12"/>
        <color theme="1"/>
        <rFont val="Calibri"/>
        <family val="2"/>
        <scheme val="minor"/>
      </rPr>
      <t>PCC 6307</t>
    </r>
  </si>
  <si>
    <r>
      <rPr>
        <i/>
        <sz val="12"/>
        <color theme="1"/>
        <rFont val="Calibri"/>
        <family val="2"/>
        <scheme val="minor"/>
      </rPr>
      <t>Synechococcus</t>
    </r>
    <r>
      <rPr>
        <sz val="12"/>
        <color theme="1"/>
        <rFont val="Calibri"/>
        <family val="2"/>
        <scheme val="minor"/>
      </rPr>
      <t xml:space="preserve"> sp. PCC 6312</t>
    </r>
  </si>
  <si>
    <r>
      <rPr>
        <i/>
        <sz val="12"/>
        <color theme="1"/>
        <rFont val="Calibri"/>
        <family val="2"/>
        <scheme val="minor"/>
      </rPr>
      <t xml:space="preserve">Calothrix </t>
    </r>
    <r>
      <rPr>
        <sz val="12"/>
        <color theme="1"/>
        <rFont val="Calibri"/>
        <family val="2"/>
        <scheme val="minor"/>
      </rPr>
      <t>sp. PCC 7507</t>
    </r>
  </si>
  <si>
    <r>
      <rPr>
        <i/>
        <sz val="12"/>
        <color theme="1"/>
        <rFont val="Calibri"/>
        <family val="2"/>
        <scheme val="minor"/>
      </rPr>
      <t>Rivularia</t>
    </r>
    <r>
      <rPr>
        <sz val="12"/>
        <color theme="1"/>
        <rFont val="Calibri"/>
        <family val="2"/>
        <scheme val="minor"/>
      </rPr>
      <t xml:space="preserve"> sp. PCC 7116</t>
    </r>
  </si>
  <si>
    <r>
      <rPr>
        <i/>
        <sz val="12"/>
        <color theme="1"/>
        <rFont val="Calibri"/>
        <family val="2"/>
        <scheme val="minor"/>
      </rPr>
      <t>Leptolyngbya</t>
    </r>
    <r>
      <rPr>
        <sz val="12"/>
        <color theme="1"/>
        <rFont val="Calibri"/>
        <family val="2"/>
        <scheme val="minor"/>
      </rPr>
      <t xml:space="preserve"> sp. PCC 7376</t>
    </r>
  </si>
  <si>
    <r>
      <rPr>
        <i/>
        <sz val="12"/>
        <color theme="1"/>
        <rFont val="Calibri"/>
        <family val="2"/>
        <scheme val="minor"/>
      </rPr>
      <t xml:space="preserve">Nostoc </t>
    </r>
    <r>
      <rPr>
        <sz val="12"/>
        <color theme="1"/>
        <rFont val="Calibri"/>
        <family val="2"/>
        <scheme val="minor"/>
      </rPr>
      <t>sp. PCC 7524</t>
    </r>
  </si>
  <si>
    <r>
      <rPr>
        <i/>
        <sz val="12"/>
        <color theme="1"/>
        <rFont val="Calibri"/>
        <family val="2"/>
        <scheme val="minor"/>
      </rPr>
      <t xml:space="preserve">Nostoc </t>
    </r>
    <r>
      <rPr>
        <sz val="12"/>
        <color theme="1"/>
        <rFont val="Calibri"/>
        <family val="2"/>
        <scheme val="minor"/>
      </rPr>
      <t>sp. PCC 7107</t>
    </r>
  </si>
  <si>
    <r>
      <rPr>
        <i/>
        <sz val="12"/>
        <color theme="1"/>
        <rFont val="Calibri"/>
        <family val="2"/>
        <scheme val="minor"/>
      </rPr>
      <t>Oscillatoria acuminata</t>
    </r>
    <r>
      <rPr>
        <sz val="12"/>
        <color theme="1"/>
        <rFont val="Calibri"/>
        <family val="2"/>
        <scheme val="minor"/>
      </rPr>
      <t xml:space="preserve"> PCC 6304</t>
    </r>
  </si>
  <si>
    <r>
      <rPr>
        <i/>
        <sz val="12"/>
        <color theme="1"/>
        <rFont val="Calibri"/>
        <family val="2"/>
        <scheme val="minor"/>
      </rPr>
      <t>Geitlerinema</t>
    </r>
    <r>
      <rPr>
        <sz val="12"/>
        <color theme="1"/>
        <rFont val="Calibri"/>
        <family val="2"/>
        <scheme val="minor"/>
      </rPr>
      <t xml:space="preserve"> sp. PCC 7407</t>
    </r>
  </si>
  <si>
    <r>
      <rPr>
        <i/>
        <sz val="12"/>
        <color theme="1"/>
        <rFont val="Calibri"/>
        <family val="2"/>
        <scheme val="minor"/>
      </rPr>
      <t>Pleurocapsa</t>
    </r>
    <r>
      <rPr>
        <sz val="12"/>
        <color theme="1"/>
        <rFont val="Calibri"/>
        <family val="2"/>
        <scheme val="minor"/>
      </rPr>
      <t xml:space="preserve"> sp. PCC 7327</t>
    </r>
  </si>
  <si>
    <r>
      <rPr>
        <i/>
        <sz val="12"/>
        <color theme="1"/>
        <rFont val="Calibri"/>
        <family val="2"/>
        <scheme val="minor"/>
      </rPr>
      <t>Chamaesiphon minutus</t>
    </r>
    <r>
      <rPr>
        <sz val="12"/>
        <color theme="1"/>
        <rFont val="Calibri"/>
        <family val="2"/>
        <scheme val="minor"/>
      </rPr>
      <t xml:space="preserve"> PCC 6605</t>
    </r>
  </si>
  <si>
    <r>
      <rPr>
        <i/>
        <sz val="12"/>
        <color theme="1"/>
        <rFont val="Calibri"/>
        <family val="2"/>
        <scheme val="minor"/>
      </rPr>
      <t>Pseudanabaena</t>
    </r>
    <r>
      <rPr>
        <sz val="12"/>
        <color theme="1"/>
        <rFont val="Calibri"/>
        <family val="2"/>
        <scheme val="minor"/>
      </rPr>
      <t xml:space="preserve"> sp. PCC 7367</t>
    </r>
  </si>
  <si>
    <r>
      <rPr>
        <i/>
        <sz val="12"/>
        <color theme="1"/>
        <rFont val="Calibri"/>
        <family val="2"/>
        <scheme val="minor"/>
      </rPr>
      <t>Synechococcus</t>
    </r>
    <r>
      <rPr>
        <sz val="12"/>
        <color theme="1"/>
        <rFont val="Calibri"/>
        <family val="2"/>
        <scheme val="minor"/>
      </rPr>
      <t xml:space="preserve"> sp. PCC 7502</t>
    </r>
  </si>
  <si>
    <r>
      <rPr>
        <i/>
        <sz val="12"/>
        <color theme="1"/>
        <rFont val="Calibri"/>
        <family val="2"/>
        <scheme val="minor"/>
      </rPr>
      <t>Microcoleus</t>
    </r>
    <r>
      <rPr>
        <sz val="12"/>
        <color theme="1"/>
        <rFont val="Calibri"/>
        <family val="2"/>
        <scheme val="minor"/>
      </rPr>
      <t xml:space="preserve"> sp. PCC 7113</t>
    </r>
  </si>
  <si>
    <r>
      <rPr>
        <i/>
        <sz val="12"/>
        <color theme="1"/>
        <rFont val="Calibri"/>
        <family val="2"/>
        <scheme val="minor"/>
      </rPr>
      <t>Oscillatoria nigro-viridis</t>
    </r>
    <r>
      <rPr>
        <sz val="12"/>
        <color theme="1"/>
        <rFont val="Calibri"/>
        <family val="2"/>
        <scheme val="minor"/>
      </rPr>
      <t xml:space="preserve"> PCC 7112</t>
    </r>
  </si>
  <si>
    <r>
      <rPr>
        <i/>
        <sz val="12"/>
        <color theme="1"/>
        <rFont val="Calibri"/>
        <family val="2"/>
        <scheme val="minor"/>
      </rPr>
      <t xml:space="preserve">Cyanobacterium stanieri </t>
    </r>
    <r>
      <rPr>
        <sz val="12"/>
        <color theme="1"/>
        <rFont val="Calibri"/>
        <family val="2"/>
        <scheme val="minor"/>
      </rPr>
      <t>PCC 7202</t>
    </r>
  </si>
  <si>
    <r>
      <rPr>
        <i/>
        <sz val="12"/>
        <color theme="1"/>
        <rFont val="Calibri"/>
        <family val="2"/>
        <scheme val="minor"/>
      </rPr>
      <t xml:space="preserve">Dactylococcopsis salina </t>
    </r>
    <r>
      <rPr>
        <sz val="12"/>
        <color theme="1"/>
        <rFont val="Calibri"/>
        <family val="2"/>
        <scheme val="minor"/>
      </rPr>
      <t>PCC 8305</t>
    </r>
  </si>
  <si>
    <r>
      <rPr>
        <i/>
        <sz val="12"/>
        <color theme="1"/>
        <rFont val="Calibri"/>
        <family val="2"/>
        <scheme val="minor"/>
      </rPr>
      <t xml:space="preserve">Halothece </t>
    </r>
    <r>
      <rPr>
        <sz val="12"/>
        <color theme="1"/>
        <rFont val="Calibri"/>
        <family val="2"/>
        <scheme val="minor"/>
      </rPr>
      <t>sp. PCC 7418</t>
    </r>
  </si>
  <si>
    <r>
      <rPr>
        <i/>
        <sz val="12"/>
        <color theme="1"/>
        <rFont val="Calibri"/>
        <family val="2"/>
        <scheme val="minor"/>
      </rPr>
      <t>Cyanobacterium aponinum</t>
    </r>
    <r>
      <rPr>
        <sz val="12"/>
        <color theme="1"/>
        <rFont val="Calibri"/>
        <family val="2"/>
        <scheme val="minor"/>
      </rPr>
      <t xml:space="preserve"> PCC 10605</t>
    </r>
  </si>
  <si>
    <r>
      <rPr>
        <i/>
        <sz val="12"/>
        <color theme="1"/>
        <rFont val="Calibri"/>
        <family val="2"/>
        <scheme val="minor"/>
      </rPr>
      <t xml:space="preserve">Geminocystis herdmanii </t>
    </r>
    <r>
      <rPr>
        <sz val="12"/>
        <color theme="1"/>
        <rFont val="Calibri"/>
        <family val="2"/>
        <scheme val="minor"/>
      </rPr>
      <t>PCC 6308</t>
    </r>
  </si>
  <si>
    <r>
      <rPr>
        <i/>
        <sz val="12"/>
        <color theme="1"/>
        <rFont val="Calibri"/>
        <family val="2"/>
        <scheme val="minor"/>
      </rPr>
      <t>Synechococcus</t>
    </r>
    <r>
      <rPr>
        <sz val="12"/>
        <color theme="1"/>
        <rFont val="Calibri"/>
        <family val="2"/>
        <scheme val="minor"/>
      </rPr>
      <t xml:space="preserve"> sp. PCC 7336</t>
    </r>
  </si>
  <si>
    <r>
      <rPr>
        <i/>
        <sz val="12"/>
        <color theme="1"/>
        <rFont val="Calibri"/>
        <family val="2"/>
        <scheme val="minor"/>
      </rPr>
      <t>Gloeobacter kilaueensis</t>
    </r>
    <r>
      <rPr>
        <sz val="12"/>
        <color theme="1"/>
        <rFont val="Calibri"/>
        <family val="2"/>
        <scheme val="minor"/>
      </rPr>
      <t xml:space="preserve"> JS1</t>
    </r>
  </si>
  <si>
    <r>
      <rPr>
        <i/>
        <sz val="12"/>
        <color theme="1"/>
        <rFont val="Calibri"/>
        <family val="2"/>
        <scheme val="minor"/>
      </rPr>
      <t xml:space="preserve">Thermosynechococcus </t>
    </r>
    <r>
      <rPr>
        <sz val="12"/>
        <color theme="1"/>
        <rFont val="Calibri"/>
        <family val="2"/>
        <scheme val="minor"/>
      </rPr>
      <t>sp. NK55a</t>
    </r>
  </si>
  <si>
    <r>
      <rPr>
        <i/>
        <sz val="12"/>
        <color theme="1"/>
        <rFont val="Calibri"/>
        <family val="2"/>
        <scheme val="minor"/>
      </rPr>
      <t>Nodularia spumigena</t>
    </r>
    <r>
      <rPr>
        <sz val="12"/>
        <color theme="1"/>
        <rFont val="Calibri"/>
        <family val="2"/>
        <scheme val="minor"/>
      </rPr>
      <t xml:space="preserve"> CCY9414</t>
    </r>
  </si>
  <si>
    <r>
      <rPr>
        <i/>
        <sz val="12"/>
        <color theme="1"/>
        <rFont val="Calibri"/>
        <family val="2"/>
        <scheme val="minor"/>
      </rPr>
      <t>Limnospira indica</t>
    </r>
    <r>
      <rPr>
        <sz val="12"/>
        <color theme="1"/>
        <rFont val="Calibri"/>
        <family val="2"/>
        <scheme val="minor"/>
      </rPr>
      <t xml:space="preserve"> PCC 8005</t>
    </r>
  </si>
  <si>
    <r>
      <rPr>
        <i/>
        <sz val="12"/>
        <color theme="1"/>
        <rFont val="Calibri"/>
        <family val="2"/>
        <scheme val="minor"/>
      </rPr>
      <t>Synechocystis</t>
    </r>
    <r>
      <rPr>
        <sz val="12"/>
        <color theme="1"/>
        <rFont val="Calibri"/>
        <family val="2"/>
        <scheme val="minor"/>
      </rPr>
      <t xml:space="preserve"> sp. PCC 6714</t>
    </r>
  </si>
  <si>
    <r>
      <t xml:space="preserve">cyanobacterium endosymbiont of </t>
    </r>
    <r>
      <rPr>
        <i/>
        <sz val="12"/>
        <color theme="1"/>
        <rFont val="Calibri"/>
        <family val="2"/>
        <scheme val="minor"/>
      </rPr>
      <t>Epithemia turgida</t>
    </r>
    <r>
      <rPr>
        <sz val="12"/>
        <color theme="1"/>
        <rFont val="Calibri"/>
        <family val="2"/>
        <scheme val="minor"/>
      </rPr>
      <t xml:space="preserve"> isolate EtSB Lake Yunoko</t>
    </r>
  </si>
  <si>
    <r>
      <rPr>
        <i/>
        <sz val="12"/>
        <color theme="1"/>
        <rFont val="Calibri"/>
        <family val="2"/>
        <scheme val="minor"/>
      </rPr>
      <t>Synechococcus</t>
    </r>
    <r>
      <rPr>
        <sz val="12"/>
        <color theme="1"/>
        <rFont val="Calibri"/>
        <family val="2"/>
        <scheme val="minor"/>
      </rPr>
      <t xml:space="preserve"> sp. KORDI-100</t>
    </r>
  </si>
  <si>
    <r>
      <rPr>
        <i/>
        <sz val="12"/>
        <color theme="1"/>
        <rFont val="Calibri"/>
        <family val="2"/>
        <scheme val="minor"/>
      </rPr>
      <t>Synechococcus</t>
    </r>
    <r>
      <rPr>
        <sz val="12"/>
        <color theme="1"/>
        <rFont val="Calibri"/>
        <family val="2"/>
        <scheme val="minor"/>
      </rPr>
      <t xml:space="preserve"> sp. KORDI-49</t>
    </r>
  </si>
  <si>
    <r>
      <rPr>
        <i/>
        <sz val="12"/>
        <color theme="1"/>
        <rFont val="Calibri"/>
        <family val="2"/>
        <scheme val="minor"/>
      </rPr>
      <t xml:space="preserve">Synechococcus </t>
    </r>
    <r>
      <rPr>
        <sz val="12"/>
        <color theme="1"/>
        <rFont val="Calibri"/>
        <family val="2"/>
        <scheme val="minor"/>
      </rPr>
      <t>sp. KORDI-52</t>
    </r>
  </si>
  <si>
    <r>
      <rPr>
        <i/>
        <sz val="12"/>
        <color theme="1"/>
        <rFont val="Calibri"/>
        <family val="2"/>
        <scheme val="minor"/>
      </rPr>
      <t>Prochlorococcus</t>
    </r>
    <r>
      <rPr>
        <sz val="12"/>
        <color theme="1"/>
        <rFont val="Calibri"/>
        <family val="2"/>
        <scheme val="minor"/>
      </rPr>
      <t xml:space="preserve"> sp. MIT 0801</t>
    </r>
  </si>
  <si>
    <r>
      <rPr>
        <i/>
        <sz val="12"/>
        <color theme="1"/>
        <rFont val="Calibri"/>
        <family val="2"/>
        <scheme val="minor"/>
      </rPr>
      <t>Prochlorococcus</t>
    </r>
    <r>
      <rPr>
        <sz val="12"/>
        <color theme="1"/>
        <rFont val="Calibri"/>
        <family val="2"/>
        <scheme val="minor"/>
      </rPr>
      <t xml:space="preserve"> sp. MIT 0604</t>
    </r>
  </si>
  <si>
    <r>
      <rPr>
        <i/>
        <sz val="12"/>
        <color theme="1"/>
        <rFont val="Calibri"/>
        <family val="2"/>
        <scheme val="minor"/>
      </rPr>
      <t>Synechococcus</t>
    </r>
    <r>
      <rPr>
        <sz val="12"/>
        <color theme="1"/>
        <rFont val="Calibri"/>
        <family val="2"/>
        <scheme val="minor"/>
      </rPr>
      <t xml:space="preserve"> sp. UTEX 2973</t>
    </r>
  </si>
  <si>
    <r>
      <rPr>
        <i/>
        <sz val="12"/>
        <color theme="1"/>
        <rFont val="Calibri"/>
        <family val="2"/>
        <scheme val="minor"/>
      </rPr>
      <t>Leptolyngbya boryana</t>
    </r>
    <r>
      <rPr>
        <sz val="12"/>
        <color theme="1"/>
        <rFont val="Calibri"/>
        <family val="2"/>
        <scheme val="minor"/>
      </rPr>
      <t xml:space="preserve"> dg5</t>
    </r>
  </si>
  <si>
    <r>
      <rPr>
        <i/>
        <sz val="12"/>
        <color theme="1"/>
        <rFont val="Calibri"/>
        <family val="2"/>
        <scheme val="minor"/>
      </rPr>
      <t>Geminocystis</t>
    </r>
    <r>
      <rPr>
        <sz val="12"/>
        <color theme="1"/>
        <rFont val="Calibri"/>
        <family val="2"/>
        <scheme val="minor"/>
      </rPr>
      <t xml:space="preserve"> sp. NIES-3709</t>
    </r>
  </si>
  <si>
    <r>
      <rPr>
        <i/>
        <sz val="12"/>
        <color theme="1"/>
        <rFont val="Calibri"/>
        <family val="2"/>
        <scheme val="minor"/>
      </rPr>
      <t>Geminocystis</t>
    </r>
    <r>
      <rPr>
        <sz val="12"/>
        <color theme="1"/>
        <rFont val="Calibri"/>
        <family val="2"/>
        <scheme val="minor"/>
      </rPr>
      <t xml:space="preserve"> sp. NIES-3708</t>
    </r>
  </si>
  <si>
    <r>
      <rPr>
        <i/>
        <sz val="12"/>
        <color theme="1"/>
        <rFont val="Calibri"/>
        <family val="2"/>
        <scheme val="minor"/>
      </rPr>
      <t>Microcystis aeruginosa</t>
    </r>
    <r>
      <rPr>
        <sz val="12"/>
        <color theme="1"/>
        <rFont val="Calibri"/>
        <family val="2"/>
        <scheme val="minor"/>
      </rPr>
      <t xml:space="preserve"> NIES-2549</t>
    </r>
  </si>
  <si>
    <r>
      <rPr>
        <i/>
        <sz val="12"/>
        <color theme="1"/>
        <rFont val="Calibri"/>
        <family val="2"/>
        <scheme val="minor"/>
      </rPr>
      <t>Calothrix</t>
    </r>
    <r>
      <rPr>
        <sz val="12"/>
        <color theme="1"/>
        <rFont val="Calibri"/>
        <family val="2"/>
        <scheme val="minor"/>
      </rPr>
      <t xml:space="preserve"> sp. 336/3</t>
    </r>
  </si>
  <si>
    <r>
      <rPr>
        <i/>
        <sz val="12"/>
        <color theme="1"/>
        <rFont val="Calibri"/>
        <family val="2"/>
        <scheme val="minor"/>
      </rPr>
      <t>Synechococcus</t>
    </r>
    <r>
      <rPr>
        <sz val="12"/>
        <color theme="1"/>
        <rFont val="Calibri"/>
        <family val="2"/>
        <scheme val="minor"/>
      </rPr>
      <t xml:space="preserve"> sp. WH 8020</t>
    </r>
  </si>
  <si>
    <r>
      <rPr>
        <i/>
        <sz val="12"/>
        <color theme="1"/>
        <rFont val="Calibri"/>
        <family val="2"/>
        <scheme val="minor"/>
      </rPr>
      <t>Synechococcus</t>
    </r>
    <r>
      <rPr>
        <sz val="12"/>
        <color theme="1"/>
        <rFont val="Calibri"/>
        <family val="2"/>
        <scheme val="minor"/>
      </rPr>
      <t xml:space="preserve"> sp. WH 8103</t>
    </r>
  </si>
  <si>
    <r>
      <rPr>
        <i/>
        <sz val="12"/>
        <color theme="1"/>
        <rFont val="Calibri"/>
        <family val="2"/>
        <scheme val="minor"/>
      </rPr>
      <t xml:space="preserve">Microcystis panniformis </t>
    </r>
    <r>
      <rPr>
        <sz val="12"/>
        <color theme="1"/>
        <rFont val="Calibri"/>
        <family val="2"/>
        <scheme val="minor"/>
      </rPr>
      <t>FACHB-1757</t>
    </r>
  </si>
  <si>
    <r>
      <rPr>
        <i/>
        <sz val="12"/>
        <color theme="1"/>
        <rFont val="Calibri"/>
        <family val="2"/>
        <scheme val="minor"/>
      </rPr>
      <t>Nostoc piscinale</t>
    </r>
    <r>
      <rPr>
        <sz val="12"/>
        <color theme="1"/>
        <rFont val="Calibri"/>
        <family val="2"/>
        <scheme val="minor"/>
      </rPr>
      <t xml:space="preserve"> CENA21</t>
    </r>
  </si>
  <si>
    <r>
      <rPr>
        <i/>
        <sz val="12"/>
        <color theme="1"/>
        <rFont val="Calibri"/>
        <family val="2"/>
        <scheme val="minor"/>
      </rPr>
      <t>Fischerella</t>
    </r>
    <r>
      <rPr>
        <sz val="12"/>
        <color theme="1"/>
        <rFont val="Calibri"/>
        <family val="2"/>
        <scheme val="minor"/>
      </rPr>
      <t xml:space="preserve"> sp. NIES-3754</t>
    </r>
  </si>
  <si>
    <r>
      <rPr>
        <i/>
        <sz val="12"/>
        <color theme="1"/>
        <rFont val="Calibri"/>
        <family val="2"/>
        <scheme val="minor"/>
      </rPr>
      <t>Synechococcus</t>
    </r>
    <r>
      <rPr>
        <sz val="12"/>
        <color theme="1"/>
        <rFont val="Calibri"/>
        <family val="2"/>
        <scheme val="minor"/>
      </rPr>
      <t xml:space="preserve"> sp. PCC 73109</t>
    </r>
  </si>
  <si>
    <r>
      <rPr>
        <i/>
        <sz val="12"/>
        <color theme="1"/>
        <rFont val="Calibri"/>
        <family val="2"/>
        <scheme val="minor"/>
      </rPr>
      <t>Leptolyngbya</t>
    </r>
    <r>
      <rPr>
        <sz val="12"/>
        <color theme="1"/>
        <rFont val="Calibri"/>
        <family val="2"/>
        <scheme val="minor"/>
      </rPr>
      <t xml:space="preserve"> sp. O-77</t>
    </r>
  </si>
  <si>
    <r>
      <rPr>
        <i/>
        <sz val="12"/>
        <color theme="1"/>
        <rFont val="Calibri"/>
        <family val="2"/>
        <scheme val="minor"/>
      </rPr>
      <t xml:space="preserve">Stanieria </t>
    </r>
    <r>
      <rPr>
        <sz val="12"/>
        <color theme="1"/>
        <rFont val="Calibri"/>
        <family val="2"/>
        <scheme val="minor"/>
      </rPr>
      <t>sp. NIES-3757</t>
    </r>
  </si>
  <si>
    <r>
      <rPr>
        <i/>
        <sz val="12"/>
        <color theme="1"/>
        <rFont val="Calibri"/>
        <family val="2"/>
        <scheme val="minor"/>
      </rPr>
      <t>Arthrospira platensis</t>
    </r>
    <r>
      <rPr>
        <sz val="12"/>
        <color theme="1"/>
        <rFont val="Calibri"/>
        <family val="2"/>
        <scheme val="minor"/>
      </rPr>
      <t xml:space="preserve"> YZ</t>
    </r>
  </si>
  <si>
    <r>
      <rPr>
        <i/>
        <sz val="12"/>
        <color theme="1"/>
        <rFont val="Calibri"/>
        <family val="2"/>
        <scheme val="minor"/>
      </rPr>
      <t>Cyanobium</t>
    </r>
    <r>
      <rPr>
        <sz val="12"/>
        <color theme="1"/>
        <rFont val="Calibri"/>
        <family val="2"/>
        <scheme val="minor"/>
      </rPr>
      <t xml:space="preserve"> sp. NIES-981</t>
    </r>
  </si>
  <si>
    <r>
      <rPr>
        <i/>
        <sz val="12"/>
        <color theme="1"/>
        <rFont val="Calibri"/>
        <family val="2"/>
        <scheme val="minor"/>
      </rPr>
      <t>Synechococcus</t>
    </r>
    <r>
      <rPr>
        <sz val="12"/>
        <color theme="1"/>
        <rFont val="Calibri"/>
        <family val="2"/>
        <scheme val="minor"/>
      </rPr>
      <t xml:space="preserve"> sp. PCC 8807</t>
    </r>
  </si>
  <si>
    <r>
      <rPr>
        <i/>
        <sz val="12"/>
        <color theme="1"/>
        <rFont val="Calibri"/>
        <family val="2"/>
        <scheme val="minor"/>
      </rPr>
      <t>Synechococcus</t>
    </r>
    <r>
      <rPr>
        <sz val="12"/>
        <color theme="1"/>
        <rFont val="Calibri"/>
        <family val="2"/>
        <scheme val="minor"/>
      </rPr>
      <t xml:space="preserve"> sp. PCC 7003</t>
    </r>
  </si>
  <si>
    <r>
      <rPr>
        <i/>
        <sz val="12"/>
        <color theme="1"/>
        <rFont val="Calibri"/>
        <family val="2"/>
        <scheme val="minor"/>
      </rPr>
      <t>Microcystis aeruginosa</t>
    </r>
    <r>
      <rPr>
        <sz val="12"/>
        <color theme="1"/>
        <rFont val="Calibri"/>
        <family val="2"/>
        <scheme val="minor"/>
      </rPr>
      <t xml:space="preserve"> NIES-2481</t>
    </r>
  </si>
  <si>
    <r>
      <rPr>
        <i/>
        <sz val="12"/>
        <color theme="1"/>
        <rFont val="Calibri"/>
        <family val="2"/>
        <scheme val="minor"/>
      </rPr>
      <t xml:space="preserve">Moorea producens </t>
    </r>
    <r>
      <rPr>
        <sz val="12"/>
        <color theme="1"/>
        <rFont val="Calibri"/>
        <family val="2"/>
        <scheme val="minor"/>
      </rPr>
      <t>PAL-8-15-08-1</t>
    </r>
  </si>
  <si>
    <r>
      <rPr>
        <i/>
        <sz val="12"/>
        <color theme="1"/>
        <rFont val="Calibri"/>
        <family val="2"/>
        <scheme val="minor"/>
      </rPr>
      <t>Moorea producens</t>
    </r>
    <r>
      <rPr>
        <sz val="12"/>
        <color theme="1"/>
        <rFont val="Calibri"/>
        <family val="2"/>
        <scheme val="minor"/>
      </rPr>
      <t xml:space="preserve"> JHB</t>
    </r>
  </si>
  <si>
    <r>
      <rPr>
        <i/>
        <sz val="12"/>
        <color theme="1"/>
        <rFont val="Calibri"/>
        <family val="2"/>
        <scheme val="minor"/>
      </rPr>
      <t>Gloeomargarita lithophora</t>
    </r>
    <r>
      <rPr>
        <sz val="12"/>
        <color theme="1"/>
        <rFont val="Calibri"/>
        <family val="2"/>
        <scheme val="minor"/>
      </rPr>
      <t xml:space="preserve"> Alchichica-D10</t>
    </r>
  </si>
  <si>
    <r>
      <rPr>
        <i/>
        <sz val="12"/>
        <color theme="1"/>
        <rFont val="Calibri"/>
        <family val="2"/>
        <scheme val="minor"/>
      </rPr>
      <t xml:space="preserve">Synechococcus </t>
    </r>
    <r>
      <rPr>
        <sz val="12"/>
        <color theme="1"/>
        <rFont val="Calibri"/>
        <family val="2"/>
        <scheme val="minor"/>
      </rPr>
      <t>sp. SynAce01</t>
    </r>
  </si>
  <si>
    <r>
      <rPr>
        <i/>
        <sz val="12"/>
        <color theme="1"/>
        <rFont val="Calibri"/>
        <family val="2"/>
        <scheme val="minor"/>
      </rPr>
      <t>Prochlorococcus</t>
    </r>
    <r>
      <rPr>
        <sz val="12"/>
        <color theme="1"/>
        <rFont val="Calibri"/>
        <family val="2"/>
        <scheme val="minor"/>
      </rPr>
      <t xml:space="preserve"> sp. RS01</t>
    </r>
  </si>
  <si>
    <r>
      <rPr>
        <i/>
        <sz val="12"/>
        <color theme="1"/>
        <rFont val="Calibri"/>
        <family val="2"/>
        <scheme val="minor"/>
      </rPr>
      <t>Prochlorococcus</t>
    </r>
    <r>
      <rPr>
        <sz val="12"/>
        <color theme="1"/>
        <rFont val="Calibri"/>
        <family val="2"/>
        <scheme val="minor"/>
      </rPr>
      <t xml:space="preserve"> sp. RS04</t>
    </r>
  </si>
  <si>
    <r>
      <rPr>
        <i/>
        <sz val="12"/>
        <color theme="1"/>
        <rFont val="Calibri"/>
        <family val="2"/>
        <scheme val="minor"/>
      </rPr>
      <t>Prochlorococcus</t>
    </r>
    <r>
      <rPr>
        <sz val="12"/>
        <color theme="1"/>
        <rFont val="Calibri"/>
        <family val="2"/>
        <scheme val="minor"/>
      </rPr>
      <t xml:space="preserve"> sp. RS50</t>
    </r>
  </si>
  <si>
    <r>
      <rPr>
        <i/>
        <sz val="12"/>
        <color theme="1"/>
        <rFont val="Calibri"/>
        <family val="2"/>
        <scheme val="minor"/>
      </rPr>
      <t xml:space="preserve">Synechococcus </t>
    </r>
    <r>
      <rPr>
        <sz val="12"/>
        <color theme="1"/>
        <rFont val="Calibri"/>
        <family val="2"/>
        <scheme val="minor"/>
      </rPr>
      <t>sp. NIES-970</t>
    </r>
  </si>
  <si>
    <r>
      <rPr>
        <i/>
        <sz val="12"/>
        <color theme="1"/>
        <rFont val="Calibri"/>
        <family val="2"/>
        <scheme val="minor"/>
      </rPr>
      <t>Microcystis aeruginosa</t>
    </r>
    <r>
      <rPr>
        <sz val="12"/>
        <color theme="1"/>
        <rFont val="Calibri"/>
        <family val="2"/>
        <scheme val="minor"/>
      </rPr>
      <t xml:space="preserve"> PCC 7806SL</t>
    </r>
  </si>
  <si>
    <r>
      <rPr>
        <i/>
        <sz val="12"/>
        <color theme="1"/>
        <rFont val="Calibri"/>
        <family val="2"/>
        <scheme val="minor"/>
      </rPr>
      <t>Halomicronema hongdechloris</t>
    </r>
    <r>
      <rPr>
        <sz val="12"/>
        <color theme="1"/>
        <rFont val="Calibri"/>
        <family val="2"/>
        <scheme val="minor"/>
      </rPr>
      <t xml:space="preserve"> C2206</t>
    </r>
  </si>
  <si>
    <r>
      <rPr>
        <i/>
        <sz val="12"/>
        <color theme="1"/>
        <rFont val="Calibri"/>
        <family val="2"/>
        <scheme val="minor"/>
      </rPr>
      <t>Anabaenopsis circularis</t>
    </r>
    <r>
      <rPr>
        <sz val="12"/>
        <color theme="1"/>
        <rFont val="Calibri"/>
        <family val="2"/>
        <scheme val="minor"/>
      </rPr>
      <t xml:space="preserve"> NIES-21</t>
    </r>
  </si>
  <si>
    <r>
      <rPr>
        <i/>
        <sz val="12"/>
        <color theme="1"/>
        <rFont val="Calibri"/>
        <family val="2"/>
        <scheme val="minor"/>
      </rPr>
      <t>Sphaerospermopsis kisseleviana</t>
    </r>
    <r>
      <rPr>
        <sz val="12"/>
        <color theme="1"/>
        <rFont val="Calibri"/>
        <family val="2"/>
        <scheme val="minor"/>
      </rPr>
      <t xml:space="preserve"> NIES-73</t>
    </r>
  </si>
  <si>
    <r>
      <rPr>
        <i/>
        <sz val="12"/>
        <color theme="1"/>
        <rFont val="Calibri"/>
        <family val="2"/>
        <scheme val="minor"/>
      </rPr>
      <t>Calothrix parasitica</t>
    </r>
    <r>
      <rPr>
        <sz val="12"/>
        <color theme="1"/>
        <rFont val="Calibri"/>
        <family val="2"/>
        <scheme val="minor"/>
      </rPr>
      <t xml:space="preserve"> NIES-267</t>
    </r>
  </si>
  <si>
    <r>
      <rPr>
        <i/>
        <sz val="12"/>
        <color theme="1"/>
        <rFont val="Calibri"/>
        <family val="2"/>
        <scheme val="minor"/>
      </rPr>
      <t>Dolichospermum compactum</t>
    </r>
    <r>
      <rPr>
        <sz val="12"/>
        <color theme="1"/>
        <rFont val="Calibri"/>
        <family val="2"/>
        <scheme val="minor"/>
      </rPr>
      <t xml:space="preserve"> NIES-806</t>
    </r>
  </si>
  <si>
    <r>
      <rPr>
        <i/>
        <sz val="12"/>
        <color theme="1"/>
        <rFont val="Calibri"/>
        <family val="2"/>
        <scheme val="minor"/>
      </rPr>
      <t xml:space="preserve">Raphidiopsis curvata </t>
    </r>
    <r>
      <rPr>
        <sz val="12"/>
        <color theme="1"/>
        <rFont val="Calibri"/>
        <family val="2"/>
        <scheme val="minor"/>
      </rPr>
      <t>NIES-932</t>
    </r>
  </si>
  <si>
    <r>
      <rPr>
        <i/>
        <sz val="12"/>
        <color theme="1"/>
        <rFont val="Calibri"/>
        <family val="2"/>
        <scheme val="minor"/>
      </rPr>
      <t xml:space="preserve">Tolypothrix tenuis </t>
    </r>
    <r>
      <rPr>
        <sz val="12"/>
        <color theme="1"/>
        <rFont val="Calibri"/>
        <family val="2"/>
        <scheme val="minor"/>
      </rPr>
      <t>PCC 7101</t>
    </r>
  </si>
  <si>
    <r>
      <rPr>
        <i/>
        <sz val="12"/>
        <color theme="1"/>
        <rFont val="Calibri"/>
        <family val="2"/>
        <scheme val="minor"/>
      </rPr>
      <t>Chondrocystis</t>
    </r>
    <r>
      <rPr>
        <sz val="12"/>
        <color theme="1"/>
        <rFont val="Calibri"/>
        <family val="2"/>
        <scheme val="minor"/>
      </rPr>
      <t xml:space="preserve"> sp. NIES-4102</t>
    </r>
  </si>
  <si>
    <r>
      <rPr>
        <i/>
        <sz val="12"/>
        <color theme="1"/>
        <rFont val="Calibri"/>
        <family val="2"/>
        <scheme val="minor"/>
      </rPr>
      <t>Thermosynechococcus vulcanus</t>
    </r>
    <r>
      <rPr>
        <sz val="12"/>
        <color theme="1"/>
        <rFont val="Calibri"/>
        <family val="2"/>
        <scheme val="minor"/>
      </rPr>
      <t xml:space="preserve"> NIES-2134</t>
    </r>
  </si>
  <si>
    <r>
      <rPr>
        <i/>
        <sz val="12"/>
        <color theme="1"/>
        <rFont val="Calibri"/>
        <family val="2"/>
        <scheme val="minor"/>
      </rPr>
      <t xml:space="preserve">Scytonema </t>
    </r>
    <r>
      <rPr>
        <sz val="12"/>
        <color theme="1"/>
        <rFont val="Calibri"/>
        <family val="2"/>
        <scheme val="minor"/>
      </rPr>
      <t>sp. HK-05</t>
    </r>
  </si>
  <si>
    <r>
      <rPr>
        <i/>
        <sz val="12"/>
        <color theme="1"/>
        <rFont val="Calibri"/>
        <family val="2"/>
        <scheme val="minor"/>
      </rPr>
      <t xml:space="preserve">Fischerella </t>
    </r>
    <r>
      <rPr>
        <sz val="12"/>
        <color theme="1"/>
        <rFont val="Calibri"/>
        <family val="2"/>
        <scheme val="minor"/>
      </rPr>
      <t>sp. NIES-4106</t>
    </r>
  </si>
  <si>
    <r>
      <rPr>
        <i/>
        <sz val="12"/>
        <color theme="1"/>
        <rFont val="Calibri"/>
        <family val="2"/>
        <scheme val="minor"/>
      </rPr>
      <t xml:space="preserve">Calothrix </t>
    </r>
    <r>
      <rPr>
        <sz val="12"/>
        <color theme="1"/>
        <rFont val="Calibri"/>
        <family val="2"/>
        <scheme val="minor"/>
      </rPr>
      <t>sp. NIES-2098</t>
    </r>
  </si>
  <si>
    <r>
      <rPr>
        <i/>
        <sz val="12"/>
        <color theme="1"/>
        <rFont val="Calibri"/>
        <family val="2"/>
        <scheme val="minor"/>
      </rPr>
      <t>Trichormus variabilis</t>
    </r>
    <r>
      <rPr>
        <sz val="12"/>
        <color theme="1"/>
        <rFont val="Calibri"/>
        <family val="2"/>
        <scheme val="minor"/>
      </rPr>
      <t xml:space="preserve"> NIES-23</t>
    </r>
  </si>
  <si>
    <r>
      <rPr>
        <i/>
        <sz val="12"/>
        <color theme="1"/>
        <rFont val="Calibri"/>
        <family val="2"/>
        <scheme val="minor"/>
      </rPr>
      <t>Calothrix</t>
    </r>
    <r>
      <rPr>
        <sz val="12"/>
        <color theme="1"/>
        <rFont val="Calibri"/>
        <family val="2"/>
        <scheme val="minor"/>
      </rPr>
      <t xml:space="preserve"> sp. NIES-3974</t>
    </r>
  </si>
  <si>
    <r>
      <rPr>
        <i/>
        <sz val="12"/>
        <color theme="1"/>
        <rFont val="Calibri"/>
        <family val="2"/>
        <scheme val="minor"/>
      </rPr>
      <t>Calothrix</t>
    </r>
    <r>
      <rPr>
        <sz val="12"/>
        <color theme="1"/>
        <rFont val="Calibri"/>
        <family val="2"/>
        <scheme val="minor"/>
      </rPr>
      <t xml:space="preserve"> sp. NIES-2100</t>
    </r>
  </si>
  <si>
    <r>
      <rPr>
        <i/>
        <sz val="12"/>
        <color theme="1"/>
        <rFont val="Calibri"/>
        <family val="2"/>
        <scheme val="minor"/>
      </rPr>
      <t xml:space="preserve">Nostoc </t>
    </r>
    <r>
      <rPr>
        <sz val="12"/>
        <color theme="1"/>
        <rFont val="Calibri"/>
        <family val="2"/>
        <scheme val="minor"/>
      </rPr>
      <t>sp. NIES-4103</t>
    </r>
  </si>
  <si>
    <r>
      <t xml:space="preserve">cyanobacterium endosymbiont of </t>
    </r>
    <r>
      <rPr>
        <i/>
        <sz val="12"/>
        <color theme="1"/>
        <rFont val="Calibri"/>
        <family val="2"/>
        <scheme val="minor"/>
      </rPr>
      <t>Rhopalodia gibberula</t>
    </r>
  </si>
  <si>
    <r>
      <rPr>
        <i/>
        <sz val="12"/>
        <color theme="1"/>
        <rFont val="Calibri"/>
        <family val="2"/>
        <scheme val="minor"/>
      </rPr>
      <t xml:space="preserve">Synechococcus lividus </t>
    </r>
    <r>
      <rPr>
        <sz val="12"/>
        <color theme="1"/>
        <rFont val="Calibri"/>
        <family val="2"/>
        <scheme val="minor"/>
      </rPr>
      <t>PCC 6715</t>
    </r>
  </si>
  <si>
    <r>
      <rPr>
        <i/>
        <sz val="12"/>
        <color theme="1"/>
        <rFont val="Calibri"/>
        <family val="2"/>
        <scheme val="minor"/>
      </rPr>
      <t>Cyanobacterium</t>
    </r>
    <r>
      <rPr>
        <sz val="12"/>
        <color theme="1"/>
        <rFont val="Calibri"/>
        <family val="2"/>
        <scheme val="minor"/>
      </rPr>
      <t xml:space="preserve"> sp. HL-69</t>
    </r>
  </si>
  <si>
    <r>
      <rPr>
        <i/>
        <sz val="12"/>
        <color theme="1"/>
        <rFont val="Calibri"/>
        <family val="2"/>
        <scheme val="minor"/>
      </rPr>
      <t>Nostoc</t>
    </r>
    <r>
      <rPr>
        <sz val="12"/>
        <color theme="1"/>
        <rFont val="Calibri"/>
        <family val="2"/>
        <scheme val="minor"/>
      </rPr>
      <t xml:space="preserve"> sp. CENA543</t>
    </r>
  </si>
  <si>
    <r>
      <rPr>
        <i/>
        <sz val="12"/>
        <color theme="1"/>
        <rFont val="Calibri"/>
        <family val="2"/>
        <scheme val="minor"/>
      </rPr>
      <t xml:space="preserve">Nostoc </t>
    </r>
    <r>
      <rPr>
        <sz val="12"/>
        <color theme="1"/>
        <rFont val="Calibri"/>
        <family val="2"/>
        <scheme val="minor"/>
      </rPr>
      <t>sp. '</t>
    </r>
    <r>
      <rPr>
        <i/>
        <sz val="12"/>
        <color theme="1"/>
        <rFont val="Calibri"/>
        <family val="2"/>
        <scheme val="minor"/>
      </rPr>
      <t>Peltigera membranacea</t>
    </r>
    <r>
      <rPr>
        <sz val="12"/>
        <color theme="1"/>
        <rFont val="Calibri"/>
        <family val="2"/>
        <scheme val="minor"/>
      </rPr>
      <t xml:space="preserve"> cyanobiont' N6</t>
    </r>
  </si>
  <si>
    <r>
      <rPr>
        <i/>
        <sz val="12"/>
        <color theme="1"/>
        <rFont val="Calibri"/>
        <family val="2"/>
        <scheme val="minor"/>
      </rPr>
      <t xml:space="preserve">Synechocystis </t>
    </r>
    <r>
      <rPr>
        <sz val="12"/>
        <color theme="1"/>
        <rFont val="Calibri"/>
        <family val="2"/>
        <scheme val="minor"/>
      </rPr>
      <t>sp. IPPAS B-1465</t>
    </r>
  </si>
  <si>
    <r>
      <rPr>
        <i/>
        <sz val="12"/>
        <color theme="1"/>
        <rFont val="Calibri"/>
        <family val="2"/>
        <scheme val="minor"/>
      </rPr>
      <t>Microcystis</t>
    </r>
    <r>
      <rPr>
        <sz val="12"/>
        <color theme="1"/>
        <rFont val="Calibri"/>
        <family val="2"/>
        <scheme val="minor"/>
      </rPr>
      <t xml:space="preserve"> sp. MC19</t>
    </r>
  </si>
  <si>
    <r>
      <rPr>
        <i/>
        <sz val="12"/>
        <color theme="1"/>
        <rFont val="Calibri"/>
        <family val="2"/>
        <scheme val="minor"/>
      </rPr>
      <t xml:space="preserve">Nostoc commune </t>
    </r>
    <r>
      <rPr>
        <sz val="12"/>
        <color theme="1"/>
        <rFont val="Calibri"/>
        <family val="2"/>
        <scheme val="minor"/>
      </rPr>
      <t>HK-02</t>
    </r>
  </si>
  <si>
    <r>
      <rPr>
        <i/>
        <sz val="12"/>
        <color theme="1"/>
        <rFont val="Calibri"/>
        <family val="2"/>
        <scheme val="minor"/>
      </rPr>
      <t>Nostoc</t>
    </r>
    <r>
      <rPr>
        <sz val="12"/>
        <color theme="1"/>
        <rFont val="Calibri"/>
        <family val="2"/>
        <scheme val="minor"/>
      </rPr>
      <t xml:space="preserve"> sp. HK-01</t>
    </r>
  </si>
  <si>
    <r>
      <rPr>
        <i/>
        <sz val="12"/>
        <color theme="1"/>
        <rFont val="Calibri"/>
        <family val="2"/>
        <scheme val="minor"/>
      </rPr>
      <t>Nodularia spumigena</t>
    </r>
    <r>
      <rPr>
        <sz val="12"/>
        <color theme="1"/>
        <rFont val="Calibri"/>
        <family val="2"/>
        <scheme val="minor"/>
      </rPr>
      <t xml:space="preserve"> UHCC 0039</t>
    </r>
  </si>
  <si>
    <r>
      <rPr>
        <i/>
        <sz val="12"/>
        <color theme="1"/>
        <rFont val="Calibri"/>
        <family val="2"/>
        <scheme val="minor"/>
      </rPr>
      <t>Thermosynechococcus elongatus</t>
    </r>
    <r>
      <rPr>
        <sz val="12"/>
        <color theme="1"/>
        <rFont val="Calibri"/>
        <family val="2"/>
        <scheme val="minor"/>
      </rPr>
      <t xml:space="preserve"> PKUAC-SCTE542</t>
    </r>
  </si>
  <si>
    <r>
      <rPr>
        <i/>
        <sz val="12"/>
        <color theme="1"/>
        <rFont val="Calibri"/>
        <family val="2"/>
        <scheme val="minor"/>
      </rPr>
      <t xml:space="preserve">Microcystis viridis </t>
    </r>
    <r>
      <rPr>
        <sz val="12"/>
        <color theme="1"/>
        <rFont val="Calibri"/>
        <family val="2"/>
        <scheme val="minor"/>
      </rPr>
      <t>NIES-102</t>
    </r>
  </si>
  <si>
    <r>
      <rPr>
        <i/>
        <sz val="12"/>
        <color theme="1"/>
        <rFont val="Calibri"/>
        <family val="2"/>
        <scheme val="minor"/>
      </rPr>
      <t xml:space="preserve">Synechococcus elongatus </t>
    </r>
    <r>
      <rPr>
        <sz val="12"/>
        <color theme="1"/>
        <rFont val="Calibri"/>
        <family val="2"/>
        <scheme val="minor"/>
      </rPr>
      <t>PCC 11801</t>
    </r>
  </si>
  <si>
    <r>
      <rPr>
        <i/>
        <sz val="12"/>
        <color theme="1"/>
        <rFont val="Calibri"/>
        <family val="2"/>
        <scheme val="minor"/>
      </rPr>
      <t xml:space="preserve">Synechococcus elongatus </t>
    </r>
    <r>
      <rPr>
        <sz val="12"/>
        <color theme="1"/>
        <rFont val="Calibri"/>
        <family val="2"/>
        <scheme val="minor"/>
      </rPr>
      <t>UTEX 3055</t>
    </r>
  </si>
  <si>
    <r>
      <rPr>
        <i/>
        <sz val="12"/>
        <color theme="1"/>
        <rFont val="Calibri"/>
        <family val="2"/>
        <scheme val="minor"/>
      </rPr>
      <t>Synechococcus</t>
    </r>
    <r>
      <rPr>
        <sz val="12"/>
        <color theme="1"/>
        <rFont val="Calibri"/>
        <family val="2"/>
        <scheme val="minor"/>
      </rPr>
      <t xml:space="preserve"> sp. WH 8101</t>
    </r>
  </si>
  <si>
    <r>
      <rPr>
        <i/>
        <sz val="12"/>
        <color theme="1"/>
        <rFont val="Calibri"/>
        <family val="2"/>
        <scheme val="minor"/>
      </rPr>
      <t>Synechococcus</t>
    </r>
    <r>
      <rPr>
        <sz val="12"/>
        <color theme="1"/>
        <rFont val="Calibri"/>
        <family val="2"/>
        <scheme val="minor"/>
      </rPr>
      <t xml:space="preserve"> sp. CB0101</t>
    </r>
  </si>
  <si>
    <r>
      <rPr>
        <i/>
        <sz val="12"/>
        <color theme="1"/>
        <rFont val="Calibri"/>
        <family val="2"/>
        <scheme val="minor"/>
      </rPr>
      <t>Euhalothece natronophila</t>
    </r>
    <r>
      <rPr>
        <sz val="12"/>
        <color theme="1"/>
        <rFont val="Calibri"/>
        <family val="2"/>
        <scheme val="minor"/>
      </rPr>
      <t xml:space="preserve"> Z-M001</t>
    </r>
  </si>
  <si>
    <r>
      <rPr>
        <i/>
        <sz val="12"/>
        <color theme="1"/>
        <rFont val="Calibri"/>
        <family val="2"/>
        <scheme val="minor"/>
      </rPr>
      <t>Dolichospermum</t>
    </r>
    <r>
      <rPr>
        <sz val="12"/>
        <color theme="1"/>
        <rFont val="Calibri"/>
        <family val="2"/>
        <scheme val="minor"/>
      </rPr>
      <t xml:space="preserve"> sp. UHCC 0315A</t>
    </r>
  </si>
  <si>
    <r>
      <rPr>
        <i/>
        <sz val="12"/>
        <color theme="1"/>
        <rFont val="Calibri"/>
        <family val="2"/>
        <scheme val="minor"/>
      </rPr>
      <t>Thermosynechococcus</t>
    </r>
    <r>
      <rPr>
        <sz val="12"/>
        <color theme="1"/>
        <rFont val="Calibri"/>
        <family val="2"/>
        <scheme val="minor"/>
      </rPr>
      <t xml:space="preserve"> sp. CL-1</t>
    </r>
  </si>
  <si>
    <r>
      <rPr>
        <i/>
        <sz val="12"/>
        <color theme="1"/>
        <rFont val="Calibri"/>
        <family val="2"/>
        <scheme val="minor"/>
      </rPr>
      <t xml:space="preserve">Synechococcus </t>
    </r>
    <r>
      <rPr>
        <sz val="12"/>
        <color theme="1"/>
        <rFont val="Calibri"/>
        <family val="2"/>
        <scheme val="minor"/>
      </rPr>
      <t>sp. RSCCF101</t>
    </r>
  </si>
  <si>
    <r>
      <rPr>
        <i/>
        <sz val="12"/>
        <color theme="1"/>
        <rFont val="Calibri"/>
        <family val="2"/>
        <scheme val="minor"/>
      </rPr>
      <t xml:space="preserve">Nostoc sphaeroides </t>
    </r>
    <r>
      <rPr>
        <sz val="12"/>
        <color theme="1"/>
        <rFont val="Calibri"/>
        <family val="2"/>
        <scheme val="minor"/>
      </rPr>
      <t>CCNUC1</t>
    </r>
  </si>
  <si>
    <r>
      <rPr>
        <i/>
        <sz val="12"/>
        <color theme="1"/>
        <rFont val="Calibri"/>
        <family val="2"/>
        <scheme val="minor"/>
      </rPr>
      <t>Anabaena</t>
    </r>
    <r>
      <rPr>
        <sz val="12"/>
        <color theme="1"/>
        <rFont val="Calibri"/>
        <family val="2"/>
        <scheme val="minor"/>
      </rPr>
      <t xml:space="preserve"> sp. YBS01</t>
    </r>
  </si>
  <si>
    <r>
      <rPr>
        <i/>
        <sz val="12"/>
        <color theme="1"/>
        <rFont val="Calibri"/>
        <family val="2"/>
        <scheme val="minor"/>
      </rPr>
      <t>Synechococcus elongatus</t>
    </r>
    <r>
      <rPr>
        <sz val="12"/>
        <color theme="1"/>
        <rFont val="Calibri"/>
        <family val="2"/>
        <scheme val="minor"/>
      </rPr>
      <t xml:space="preserve"> PCC 11802</t>
    </r>
  </si>
  <si>
    <t>PKS</t>
  </si>
  <si>
    <t>NRPS/PKS</t>
  </si>
  <si>
    <t>RIPPs</t>
  </si>
  <si>
    <t>Others</t>
  </si>
  <si>
    <t>Total</t>
  </si>
  <si>
    <t>P</t>
  </si>
  <si>
    <r>
      <rPr>
        <i/>
        <sz val="12"/>
        <rFont val="Calibri"/>
        <family val="2"/>
        <scheme val="minor"/>
      </rPr>
      <t>Calothrix</t>
    </r>
    <r>
      <rPr>
        <sz val="12"/>
        <rFont val="Calibri"/>
        <family val="2"/>
        <scheme val="minor"/>
      </rPr>
      <t xml:space="preserve"> sp. NIES-4105</t>
    </r>
  </si>
  <si>
    <t>pANACY.4</t>
  </si>
  <si>
    <r>
      <rPr>
        <i/>
        <sz val="12"/>
        <color theme="1"/>
        <rFont val="Calibri"/>
        <family val="2"/>
        <scheme val="minor"/>
      </rPr>
      <t>Fremyella diplosiphon</t>
    </r>
    <r>
      <rPr>
        <sz val="12"/>
        <color theme="1"/>
        <rFont val="Calibri"/>
        <family val="2"/>
        <scheme val="minor"/>
      </rPr>
      <t xml:space="preserve"> NIES-3275</t>
    </r>
  </si>
  <si>
    <r>
      <rPr>
        <i/>
        <sz val="12"/>
        <color theme="1"/>
        <rFont val="Calibri"/>
        <family val="2"/>
        <scheme val="minor"/>
      </rPr>
      <t xml:space="preserve">Leptolyngbya boryana </t>
    </r>
    <r>
      <rPr>
        <sz val="12"/>
        <color theme="1"/>
        <rFont val="Calibri"/>
        <family val="2"/>
        <scheme val="minor"/>
      </rPr>
      <t>NIES-2135</t>
    </r>
  </si>
  <si>
    <r>
      <rPr>
        <i/>
        <sz val="12"/>
        <color theme="1"/>
        <rFont val="Calibri"/>
        <family val="2"/>
        <scheme val="minor"/>
      </rPr>
      <t>Calothrix</t>
    </r>
    <r>
      <rPr>
        <sz val="12"/>
        <color theme="1"/>
        <rFont val="Calibri"/>
        <family val="2"/>
        <scheme val="minor"/>
      </rPr>
      <t xml:space="preserve"> sp. NIES-2098</t>
    </r>
  </si>
  <si>
    <r>
      <rPr>
        <i/>
        <sz val="12"/>
        <color theme="1"/>
        <rFont val="Calibri"/>
        <family val="2"/>
        <scheme val="minor"/>
      </rPr>
      <t>Calothrix</t>
    </r>
    <r>
      <rPr>
        <sz val="12"/>
        <color theme="1"/>
        <rFont val="Calibri"/>
        <family val="2"/>
        <scheme val="minor"/>
      </rPr>
      <t xml:space="preserve"> sp. NIES-4101</t>
    </r>
  </si>
  <si>
    <r>
      <rPr>
        <i/>
        <sz val="12"/>
        <color theme="1"/>
        <rFont val="Calibri"/>
        <family val="2"/>
        <scheme val="minor"/>
      </rPr>
      <t>Fischerella</t>
    </r>
    <r>
      <rPr>
        <sz val="12"/>
        <color theme="1"/>
        <rFont val="Calibri"/>
        <family val="2"/>
        <scheme val="minor"/>
      </rPr>
      <t xml:space="preserve"> sp. NIES-4106</t>
    </r>
  </si>
  <si>
    <r>
      <rPr>
        <i/>
        <sz val="12"/>
        <color theme="1"/>
        <rFont val="Calibri"/>
        <family val="2"/>
        <scheme val="minor"/>
      </rPr>
      <t>Nostoc</t>
    </r>
    <r>
      <rPr>
        <sz val="12"/>
        <color theme="1"/>
        <rFont val="Calibri"/>
        <family val="2"/>
        <scheme val="minor"/>
      </rPr>
      <t xml:space="preserve"> sp. NIES-2111</t>
    </r>
  </si>
  <si>
    <r>
      <rPr>
        <i/>
        <sz val="12"/>
        <color theme="1"/>
        <rFont val="Calibri"/>
        <family val="2"/>
        <scheme val="minor"/>
      </rPr>
      <t>Nostoc</t>
    </r>
    <r>
      <rPr>
        <sz val="12"/>
        <color theme="1"/>
        <rFont val="Calibri"/>
        <family val="2"/>
        <scheme val="minor"/>
      </rPr>
      <t xml:space="preserve"> sp. PCC 7120 = FACHB-418</t>
    </r>
  </si>
  <si>
    <r>
      <rPr>
        <i/>
        <sz val="12"/>
        <color theme="1"/>
        <rFont val="Calibri"/>
        <family val="2"/>
        <scheme val="minor"/>
      </rPr>
      <t xml:space="preserve">Planktothrix agardhii </t>
    </r>
    <r>
      <rPr>
        <sz val="12"/>
        <color theme="1"/>
        <rFont val="Calibri"/>
        <family val="2"/>
        <scheme val="minor"/>
      </rPr>
      <t>NIVA-CYA 126/8</t>
    </r>
  </si>
  <si>
    <r>
      <rPr>
        <i/>
        <sz val="12"/>
        <color theme="1"/>
        <rFont val="Calibri"/>
        <family val="2"/>
        <scheme val="minor"/>
      </rPr>
      <t>Stanieria</t>
    </r>
    <r>
      <rPr>
        <sz val="12"/>
        <color theme="1"/>
        <rFont val="Calibri"/>
        <family val="2"/>
        <scheme val="minor"/>
      </rPr>
      <t xml:space="preserve"> sp. NIES-3757</t>
    </r>
  </si>
  <si>
    <r>
      <rPr>
        <i/>
        <sz val="12"/>
        <color theme="1"/>
        <rFont val="Calibri"/>
        <family val="2"/>
        <scheme val="minor"/>
      </rPr>
      <t>Synechococcu</t>
    </r>
    <r>
      <rPr>
        <sz val="12"/>
        <color theme="1"/>
        <rFont val="Calibri"/>
        <family val="2"/>
        <scheme val="minor"/>
      </rPr>
      <t>s sp. NIES-970</t>
    </r>
  </si>
  <si>
    <r>
      <rPr>
        <i/>
        <sz val="12"/>
        <color theme="1"/>
        <rFont val="Calibri"/>
        <family val="2"/>
        <scheme val="minor"/>
      </rPr>
      <t>Synechococcus</t>
    </r>
    <r>
      <rPr>
        <sz val="12"/>
        <color theme="1"/>
        <rFont val="Calibri"/>
        <family val="2"/>
        <scheme val="minor"/>
      </rPr>
      <t xml:space="preserve"> sp. PCC 11901</t>
    </r>
  </si>
  <si>
    <r>
      <rPr>
        <i/>
        <sz val="12"/>
        <color theme="1"/>
        <rFont val="Calibri"/>
        <family val="2"/>
        <scheme val="minor"/>
      </rPr>
      <t>Tolypothrix tenuis</t>
    </r>
    <r>
      <rPr>
        <sz val="12"/>
        <color theme="1"/>
        <rFont val="Calibri"/>
        <family val="2"/>
        <scheme val="minor"/>
      </rPr>
      <t xml:space="preserve"> PCC 7101</t>
    </r>
  </si>
  <si>
    <t>pCAL6303.01</t>
  </si>
  <si>
    <t>pOSCIL6304.01</t>
  </si>
  <si>
    <t>pCRI9333.01</t>
  </si>
  <si>
    <t>NC_009926.1</t>
  </si>
  <si>
    <t>NC_009927.1</t>
  </si>
  <si>
    <t>NC_019774.1</t>
  </si>
  <si>
    <t>NZ_AP018169.1</t>
  </si>
  <si>
    <t>NZ_CP011457.1</t>
  </si>
  <si>
    <t>NZ_AP018308.1</t>
  </si>
  <si>
    <t>NZ_AP018208.1</t>
  </si>
  <si>
    <t>NZ_AP018211.1</t>
  </si>
  <si>
    <t>NZ_AP018217.1</t>
  </si>
  <si>
    <t>AP018277.1</t>
  </si>
  <si>
    <t>NZ_AP018292.1</t>
  </si>
  <si>
    <t>NZ_AP018257.1</t>
  </si>
  <si>
    <t>NC_019727.1</t>
  </si>
  <si>
    <t>NC_019700.1</t>
  </si>
  <si>
    <t>NC_019733.1</t>
  </si>
  <si>
    <t>pP742501</t>
  </si>
  <si>
    <t>NC_011880.1</t>
  </si>
  <si>
    <t>AP018272.1</t>
  </si>
  <si>
    <t>AP018273.1</t>
  </si>
  <si>
    <t>AP018270.1</t>
  </si>
  <si>
    <t>pCYLST.01</t>
  </si>
  <si>
    <t>NC_020050.1</t>
  </si>
  <si>
    <t>NZ_AP018300.1</t>
  </si>
  <si>
    <t>NZ_AP018299.1</t>
  </si>
  <si>
    <t>NZ_AP018237.1</t>
  </si>
  <si>
    <t>pGLO7428.01</t>
  </si>
  <si>
    <t>NC_019746.1</t>
  </si>
  <si>
    <t>pP742401</t>
  </si>
  <si>
    <t>NC_011738.1</t>
  </si>
  <si>
    <t>Cy782202</t>
  </si>
  <si>
    <t>NC_014534.1</t>
  </si>
  <si>
    <t>Cy782201</t>
  </si>
  <si>
    <t>NC_014533.1</t>
  </si>
  <si>
    <t>NZ_AP014640.1</t>
  </si>
  <si>
    <t>NZ_AP018205.1</t>
  </si>
  <si>
    <t>NZ_AP017310.1</t>
  </si>
  <si>
    <t>NZ_AP018182.1</t>
  </si>
  <si>
    <t>NZ_AP018183.1</t>
  </si>
  <si>
    <t>AP018327.1</t>
  </si>
  <si>
    <t>pNFSY04</t>
  </si>
  <si>
    <t>NZ_CP024789.1</t>
  </si>
  <si>
    <t>pNFSY07</t>
  </si>
  <si>
    <t>NZ_CP024792.1</t>
  </si>
  <si>
    <t>pNFSY08</t>
  </si>
  <si>
    <t>NZ_CP024793.1</t>
  </si>
  <si>
    <t>NZ_AP018223.1</t>
  </si>
  <si>
    <t>pNPUN01</t>
  </si>
  <si>
    <t>NC_010631.1</t>
  </si>
  <si>
    <t>pNPUN03</t>
  </si>
  <si>
    <t>NC_010630.1</t>
  </si>
  <si>
    <t>pNPUN05</t>
  </si>
  <si>
    <t>NC_010629.1</t>
  </si>
  <si>
    <t>NZ_CP046704.1</t>
  </si>
  <si>
    <t>NZ_CP046705.1</t>
  </si>
  <si>
    <t>NZ_CP046707.1</t>
  </si>
  <si>
    <t>NZ_CP046706.1</t>
  </si>
  <si>
    <t>NZ_CP026694.1</t>
  </si>
  <si>
    <t>NZ_AP018187.1</t>
  </si>
  <si>
    <t>NZ_AP018186.1</t>
  </si>
  <si>
    <t>NZ_AP017296.1</t>
  </si>
  <si>
    <t>NZ_AP018289.1</t>
  </si>
  <si>
    <t>pCC7120alpha</t>
  </si>
  <si>
    <t>NC_003276.1</t>
  </si>
  <si>
    <t>NZ_CP031943.1</t>
  </si>
  <si>
    <t>pGXM01</t>
  </si>
  <si>
    <t>NZ_CP045228.1</t>
  </si>
  <si>
    <t>pGXM02</t>
  </si>
  <si>
    <t>NZ_CP045229.1</t>
  </si>
  <si>
    <t>pGXM04</t>
  </si>
  <si>
    <t>NZ_CP045231.1</t>
  </si>
  <si>
    <t>AP017993.1</t>
  </si>
  <si>
    <t>NZ_CM002804.1</t>
  </si>
  <si>
    <t>NZ_CM002808.1</t>
  </si>
  <si>
    <t>NZ_AP017564.1</t>
  </si>
  <si>
    <t>NZ_AP017565.1</t>
  </si>
  <si>
    <t>NZ_AP017566.1</t>
  </si>
  <si>
    <t>NZ_AP018195.1</t>
  </si>
  <si>
    <t>NZ_AP018265.1</t>
  </si>
  <si>
    <t>pSTA7437.02</t>
  </si>
  <si>
    <t>NC_019749.1</t>
  </si>
  <si>
    <t>NZ_AP017376.1</t>
  </si>
  <si>
    <t>NZ_AP017960.1</t>
  </si>
  <si>
    <t>NZ_CP040361.1</t>
  </si>
  <si>
    <t>NZ_CP016482.1</t>
  </si>
  <si>
    <t>NC_010474.1</t>
  </si>
  <si>
    <t>NZ_AP014644.1</t>
  </si>
  <si>
    <t>NZ_AP018249.1</t>
  </si>
  <si>
    <t>NC_007410.1</t>
  </si>
  <si>
    <t>NC_007412.1</t>
  </si>
  <si>
    <r>
      <rPr>
        <i/>
        <sz val="12"/>
        <color theme="1"/>
        <rFont val="Calibri"/>
        <family val="2"/>
        <scheme val="minor"/>
      </rPr>
      <t>Nostoc commune</t>
    </r>
    <r>
      <rPr>
        <sz val="12"/>
        <color theme="1"/>
        <rFont val="Calibri"/>
        <family val="2"/>
        <scheme val="minor"/>
      </rPr>
      <t xml:space="preserve"> HK-02</t>
    </r>
  </si>
  <si>
    <r>
      <rPr>
        <i/>
        <sz val="12"/>
        <color theme="1"/>
        <rFont val="Calibri"/>
        <family val="2"/>
        <scheme val="minor"/>
      </rPr>
      <t>Nostoc</t>
    </r>
    <r>
      <rPr>
        <sz val="12"/>
        <color theme="1"/>
        <rFont val="Calibri"/>
        <family val="2"/>
        <scheme val="minor"/>
      </rPr>
      <t xml:space="preserve"> sp. NIES-4103</t>
    </r>
  </si>
  <si>
    <r>
      <rPr>
        <i/>
        <sz val="12"/>
        <color theme="1"/>
        <rFont val="Calibri"/>
        <family val="2"/>
        <scheme val="minor"/>
      </rPr>
      <t>Scytonema</t>
    </r>
    <r>
      <rPr>
        <sz val="12"/>
        <color theme="1"/>
        <rFont val="Calibri"/>
        <family val="2"/>
        <scheme val="minor"/>
      </rPr>
      <t xml:space="preserve"> sp. HK-05</t>
    </r>
  </si>
  <si>
    <t>*</t>
  </si>
  <si>
    <t>BGCs identified through manual curation (Table S2)</t>
  </si>
  <si>
    <t>Genome</t>
  </si>
  <si>
    <t>ANC, HAS, HG, MCY, MIC</t>
  </si>
  <si>
    <t>ANC, CYL, HG</t>
  </si>
  <si>
    <t>Jamaicamide</t>
  </si>
  <si>
    <t>JAM</t>
  </si>
  <si>
    <t>APT, HG</t>
  </si>
  <si>
    <r>
      <rPr>
        <i/>
        <sz val="12"/>
        <color theme="1"/>
        <rFont val="Calibri"/>
        <family val="2"/>
        <scheme val="minor"/>
      </rPr>
      <t>Anabaena (Dolichospermum)</t>
    </r>
    <r>
      <rPr>
        <sz val="12"/>
        <color theme="1"/>
        <rFont val="Calibri"/>
        <family val="2"/>
        <scheme val="minor"/>
      </rPr>
      <t xml:space="preserve"> sp. 90</t>
    </r>
  </si>
  <si>
    <t>Name</t>
  </si>
  <si>
    <r>
      <t xml:space="preserve">Nostoc sphaeroides </t>
    </r>
    <r>
      <rPr>
        <sz val="12"/>
        <color theme="1"/>
        <rFont val="Calibri"/>
        <family val="2"/>
        <scheme val="minor"/>
      </rPr>
      <t>Kutzing Em</t>
    </r>
  </si>
  <si>
    <r>
      <t xml:space="preserve">Nostoc sphaeroides </t>
    </r>
    <r>
      <rPr>
        <sz val="12"/>
        <color theme="1"/>
        <rFont val="Calibri"/>
        <family val="2"/>
        <scheme val="minor"/>
      </rPr>
      <t>Kutzing 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</si>
</sst>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"/>
    <numFmt numFmtId="166" formatCode="dd\-mmm\-yy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0"/>
      <color rgb="FF66666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0" fillId="0" borderId="0" xfId="1" applyNumberFormat="1" applyFont="1" applyAlignment="1">
      <alignment horizontal="center" vertical="center"/>
    </xf>
    <xf numFmtId="3" fontId="0" fillId="0" borderId="0" xfId="0" applyNumberFormat="1"/>
    <xf numFmtId="3" fontId="0" fillId="0" borderId="0" xfId="1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15" fontId="0" fillId="0" borderId="0" xfId="0" applyNumberFormat="1" applyFont="1" applyAlignment="1">
      <alignment horizontal="center" vertical="center"/>
    </xf>
    <xf numFmtId="0" fontId="0" fillId="0" borderId="0" xfId="0" applyFont="1"/>
    <xf numFmtId="165" fontId="0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quotePrefix="1" applyFont="1" applyFill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1" applyNumberFormat="1" applyFont="1" applyAlignment="1">
      <alignment horizontal="center" vertical="center"/>
    </xf>
    <xf numFmtId="0" fontId="0" fillId="0" borderId="0" xfId="1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/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0" xfId="1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3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dd\-mmm\-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dd\-mmm\-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numFmt numFmtId="3" formatCode="#,##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numFmt numFmtId="3" formatCode="#,##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alignment horizontal="center" vertical="center" textRotation="0" wrapText="0" indent="0" justifyLastLine="0" shrinkToFit="0" readingOrder="0"/>
    </dxf>
    <dxf>
      <border outline="0">
        <top style="thin">
          <color theme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border outline="0">
        <top style="thin">
          <color theme="1"/>
        </top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alignment horizontal="center" vertical="center" textRotation="0" wrapText="0" indent="0" justifyLastLine="0" shrinkToFit="0" readingOrder="0"/>
    </dxf>
    <dxf>
      <border outline="0">
        <top style="thin">
          <color theme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center" vertical="center" textRotation="0" wrapText="0" indent="0" justifyLastLine="0" shrinkToFit="0" readingOrder="0"/>
    </dxf>
    <dxf>
      <border outline="0">
        <top style="thin">
          <color theme="1"/>
        </top>
        <bottom style="thin">
          <color theme="1"/>
        </bottom>
      </border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9D8EEA-07D8-A94C-8A6E-BBBC9F48D54A}" name="Table1" displayName="Table1" ref="A1:R187" totalsRowCount="1" headerRowDxfId="339" dataDxfId="338">
  <autoFilter ref="A1:R186" xr:uid="{5AD6180B-53AA-804D-8B37-07592F30BB6B}"/>
  <sortState xmlns:xlrd2="http://schemas.microsoft.com/office/spreadsheetml/2017/richdata2" ref="A2:R186">
    <sortCondition ref="A1:A186"/>
  </sortState>
  <tableColumns count="18">
    <tableColumn id="15" xr3:uid="{5FD3519E-A8C6-A34A-BE31-47435EE5C0B2}" name="Genome" dataDxfId="68" totalsRowDxfId="50"/>
    <tableColumn id="2" xr3:uid="{11843705-06EF-074C-ABE4-ECFC7E587623}" name="Acession" dataDxfId="67" totalsRowDxfId="49"/>
    <tableColumn id="3" xr3:uid="{4D6C3C25-8FC9-FB49-A718-8FDFFDDA9FE8}" name="Level" dataDxfId="66" totalsRowDxfId="48"/>
    <tableColumn id="4" xr3:uid="{F924A54B-E41F-AB47-AF31-684357230CE4}" name="Size (Mbp)" dataDxfId="65" totalsRowDxfId="47"/>
    <tableColumn id="5" xr3:uid="{76359BA6-3F39-0043-B132-C20D66A6E15E}" name="GC%" dataDxfId="64" totalsRowDxfId="46"/>
    <tableColumn id="8" xr3:uid="{8ACCEF29-F032-454E-8D77-6D5A4A571910}" name="CDS" dataDxfId="63" totalsRowDxfId="45"/>
    <tableColumn id="10" xr3:uid="{36F1D5E4-C0F3-B645-BA2E-3FF67A9F0B32}" name="Genes" dataDxfId="62" totalsRowDxfId="44"/>
    <tableColumn id="11" xr3:uid="{8E0DBEDF-893E-6243-83C1-7A8BCF67F719}" name="tRNA" dataDxfId="61" totalsRowDxfId="43"/>
    <tableColumn id="16" xr3:uid="{01773047-4755-D44B-9739-D1B6E146D674}" name="Chr" dataDxfId="60" totalsRowDxfId="42"/>
    <tableColumn id="19" xr3:uid="{5C3A7BD6-7046-8643-80A1-425E9238FCEB}" name="Chr Incision-element" dataDxfId="59" totalsRowDxfId="41"/>
    <tableColumn id="13" xr3:uid="{C11DF136-E90E-C943-B842-0C0C3A9042F1}" name="Pld" totalsRowFunction="custom" dataDxfId="58" totalsRowDxfId="40">
      <totalsRowFormula>SUM(Table1[Pld])</totalsRowFormula>
    </tableColumn>
    <tableColumn id="17" xr3:uid="{3442A0DE-4B90-1342-A73C-49689B177BA9}" name="Replicons" dataDxfId="57" totalsRowDxfId="39"/>
    <tableColumn id="9" xr3:uid="{2E97A048-FF64-4B40-8778-5AD1D0A06DC4}" name="Release Date" dataDxfId="56" totalsRowDxfId="38"/>
    <tableColumn id="6" xr3:uid="{FBB87C68-0975-6048-8B3C-DA375178EC71}" name="BGCs-Chr" totalsRowFunction="custom" dataDxfId="55" totalsRowDxfId="37">
      <totalsRowFormula>SUM(Table1[BGCs-Chr])</totalsRowFormula>
    </tableColumn>
    <tableColumn id="14" xr3:uid="{26D09772-4494-E245-A54E-B9455F601D85}" name="Known BGC-Chr" dataDxfId="54" totalsRowDxfId="36"/>
    <tableColumn id="7" xr3:uid="{FC90FE5C-AD90-5A45-A91F-D8C74F837525}" name="BGCs-Pld" totalsRowFunction="custom" dataDxfId="53" totalsRowDxfId="35">
      <totalsRowFormula>SUM(Table1[BGCs-Pld])</totalsRowFormula>
    </tableColumn>
    <tableColumn id="12" xr3:uid="{87D60E65-02BC-C348-8E29-473DCCE6D344}" name="Known BGC-Pld" dataDxfId="52" totalsRowDxfId="34"/>
    <tableColumn id="21" xr3:uid="{07AA1A4E-25DF-9C43-BFF1-127E403D3410}" name="Total BGCs" totalsRowFunction="custom" dataDxfId="51" totalsRowDxfId="33">
      <totalsRowFormula>SUM(Table1[Total BGCs])</totalsRow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1DA7A3D-15FF-6F48-82DE-27BEB20734A1}" name="Table7" displayName="Table7" ref="A1:CU188" headerRowDxfId="337" dataDxfId="336" tableBorderDxfId="335" dataCellStyle="Normal">
  <autoFilter ref="A1:CU188" xr:uid="{8E983439-0B40-7A40-91EB-07DB801FDEFD}"/>
  <sortState xmlns:xlrd2="http://schemas.microsoft.com/office/spreadsheetml/2017/richdata2" ref="A2:CU188">
    <sortCondition ref="A1:A188"/>
  </sortState>
  <tableColumns count="99">
    <tableColumn id="1" xr3:uid="{5C1F105A-5195-ED45-99CA-BA0CC57E10DC}" name="Genome" totalsRowLabel="Total" dataDxfId="334" totalsRowDxfId="333" dataCellStyle="Normal"/>
    <tableColumn id="2" xr3:uid="{5E0B4263-B001-D842-AE82-89BCBA914C2F}" name="Name" dataDxfId="332" totalsRowDxfId="331" dataCellStyle="Normal"/>
    <tableColumn id="3" xr3:uid="{0539D027-5127-6D4E-8AC3-436E76360A35}" name="Accession number" dataDxfId="330" totalsRowDxfId="329" dataCellStyle="Normal"/>
    <tableColumn id="81" xr3:uid="{0D2E600A-69A5-3D47-BBF3-589105A4A4F7}" name="Acyl_amino_acids" dataDxfId="328" totalsRowDxfId="327"/>
    <tableColumn id="64" xr3:uid="{C7E49D41-23F0-0848-BF2E-C065E4197D42}" name="Amglyccycl" dataDxfId="326" totalsRowDxfId="325"/>
    <tableColumn id="18" xr3:uid="{13A6B2A0-CB98-3A4D-A4CB-00D90930A336}" name="Arypolyene" dataDxfId="324" totalsRowDxfId="323"/>
    <tableColumn id="68" xr3:uid="{A90845E4-21E2-664C-A705-FF6DBC94A4CB}" name="Arypolyene, NRPS" dataDxfId="322" totalsRowDxfId="321"/>
    <tableColumn id="6" xr3:uid="{56C0F694-F854-A746-936F-F915AC22A88E}" name="Bacteriocin" dataDxfId="320" totalsRowDxfId="319"/>
    <tableColumn id="86" xr3:uid="{75757230-CB36-474D-873D-8FEB71ED0A9F}" name="Bacteriocin, cyanobactin" dataDxfId="318" totalsRowDxfId="317"/>
    <tableColumn id="25" xr3:uid="{4FBFACCD-0E45-A140-8EDE-7512988E0D21}" name="Bacteriocin, cyanobactin, LAP" dataDxfId="316" totalsRowDxfId="315"/>
    <tableColumn id="54" xr3:uid="{5422C662-B56C-0046-B6A0-B24FD9C1B44F}" name="Bacteriocin, cyanobactin, LAP, thiopeptide" dataDxfId="314" totalsRowDxfId="313"/>
    <tableColumn id="9" xr3:uid="{B33C53AF-A393-1D4B-9049-B2B3AF83A439}" name="Bacteriocin, lanthipeptide" dataDxfId="312" totalsRowDxfId="311"/>
    <tableColumn id="38" xr3:uid="{817B3C78-34DE-314D-B2AB-FF5BB7830E45}" name="Bacteriocin, lanthipeptide, NRPS" dataDxfId="310" totalsRowDxfId="309"/>
    <tableColumn id="73" xr3:uid="{0C3007CC-BD0B-F04C-B928-7126F71D1830}" name="Bacteriocin, LAP" dataDxfId="308" totalsRowDxfId="307"/>
    <tableColumn id="103" xr3:uid="{CDC70820-A3B0-264C-8432-5ABE354CF089}" name="Bacteriocin, LAP, NRPS, PKS-like, transAT-PKS, T1PKS, T3PKS" dataDxfId="306" totalsRowDxfId="305"/>
    <tableColumn id="90" xr3:uid="{5C811819-2E34-F44F-AC90-047D71B6EBE1}" name="Bacteriocin, LAP, NRPS, T1PKS" dataDxfId="304" totalsRowDxfId="303"/>
    <tableColumn id="53" xr3:uid="{80A81C75-7E91-6248-B696-72485007A396}" name="Bacteriocin, lassopeptide" dataDxfId="302" totalsRowDxfId="301"/>
    <tableColumn id="99" xr3:uid="{129CD1C5-3FEE-F244-B4EA-CEB5ADFCA080}" name="Bacteriocin, microviridin" dataDxfId="300" totalsRowDxfId="299"/>
    <tableColumn id="75" xr3:uid="{C09E56A9-7C37-CB4F-922B-B099DDDBB97B}" name="Bacteriocin, NRPS" dataDxfId="298" totalsRowDxfId="297"/>
    <tableColumn id="36" xr3:uid="{8A105F74-AFFE-5A4B-AAAD-E826DB74C8E6}" name="Bacteriocin, NRPS, T1PKS" dataDxfId="296" totalsRowDxfId="295"/>
    <tableColumn id="22" xr3:uid="{3C751C7A-A95A-4E43-A4C9-2A81E28A9DE5}" name="Bacteriosin, Proteosin" dataDxfId="294" totalsRowDxfId="293"/>
    <tableColumn id="15" xr3:uid="{FF7AF577-750A-1E4E-9067-0E8922AB4584}" name="Bacteriocin, terpene" dataDxfId="292" totalsRowDxfId="291"/>
    <tableColumn id="57" xr3:uid="{7539F7ED-9297-CB4E-A537-712A2AC57225}" name="Bacteriocin, TfuA-related" dataDxfId="290" totalsRowDxfId="289"/>
    <tableColumn id="14" xr3:uid="{7DE626D8-56B9-0948-9B19-0F9DD3685C47}" name="Bacteriocin, T3PKS" dataDxfId="288" totalsRowDxfId="287"/>
    <tableColumn id="29" xr3:uid="{D4B00329-7686-2B46-877C-B2B6EC381F24}" name="Betalactone" dataDxfId="286" totalsRowDxfId="285"/>
    <tableColumn id="95" xr3:uid="{FCA1D8E1-C0CA-E441-A567-EC005619F7A2}" name="Betalactone, hglE-KS, microviridin, NRPS, T1PKS" dataDxfId="284" totalsRowDxfId="283"/>
    <tableColumn id="71" xr3:uid="{4A4F855D-583E-3B44-904E-76D59D19683C}" name="Betalactone, microviridin, NRPS" dataDxfId="282" totalsRowDxfId="281"/>
    <tableColumn id="35" xr3:uid="{4A805E54-673E-8E4D-A364-0088B8910EFA}" name="Betalactone, NRPS" dataDxfId="280" totalsRowDxfId="279"/>
    <tableColumn id="49" xr3:uid="{F09AF8E1-3096-4846-9A81-2B2036015FC7}" name="Betalactone, NRPS, T1PKS" dataDxfId="278" totalsRowDxfId="277"/>
    <tableColumn id="70" xr3:uid="{24865427-520E-7647-9488-2A1F176B6B10}" name="Butyrolactone" dataDxfId="276" totalsRowDxfId="275"/>
    <tableColumn id="21" xr3:uid="{B7F63AEB-4142-ED46-AB61-0FE00F0DB38C}" name="Butyrolactone, hglE-KS, T1PKS" dataDxfId="274" totalsRowDxfId="273"/>
    <tableColumn id="88" xr3:uid="{2B89D06C-0088-A94C-AC4B-17B1E107B3CA}" name="CDPS" dataDxfId="272" totalsRowDxfId="271"/>
    <tableColumn id="79" xr3:uid="{6154C0B5-94CB-AB40-9BA3-27BAFE9F2A21}" name="CDPS, NRPS, T1PKS" dataDxfId="270" totalsRowDxfId="269"/>
    <tableColumn id="30" xr3:uid="{4305EE8D-EAD3-2648-A256-976993798864}" name="Cyanobactin" dataDxfId="268" totalsRowDxfId="267"/>
    <tableColumn id="93" xr3:uid="{1F0A968F-88A2-0E40-936C-9CDF24A39402}" name="Cyanobactin, LAP" dataDxfId="266" totalsRowDxfId="265"/>
    <tableColumn id="83" xr3:uid="{705ED310-FE60-474D-9177-82C022A7C1A1}" name="Cyanobactin, lassopeptide" dataDxfId="264" totalsRowDxfId="263"/>
    <tableColumn id="55" xr3:uid="{066F15F4-5C99-ED44-BBBA-8AEBF7B8ABF2}" name="Ectoine" dataDxfId="262" totalsRowDxfId="261"/>
    <tableColumn id="17" xr3:uid="{BB9EC4AE-24F2-6E40-9063-3472342CA655}" name="hglE-KS" dataDxfId="260" totalsRowDxfId="259"/>
    <tableColumn id="67" xr3:uid="{F0711F03-1571-A54A-A9AF-9CD31F9E3E0A}" name="hglE-KS, NRPS, resorcinol" dataDxfId="258" totalsRowDxfId="257"/>
    <tableColumn id="97" xr3:uid="{AD2BE9F4-5F62-6441-858B-8BAC033AE77E}" name="hglE-KS, resorcinol" dataDxfId="256" totalsRowDxfId="255"/>
    <tableColumn id="7" xr3:uid="{7E40529D-A51A-1447-8467-B1DC0A6118DC}" name="hglE-KS, NRPS, T1PKS" dataDxfId="254" totalsRowDxfId="253"/>
    <tableColumn id="82" xr3:uid="{FCB85BF9-57EB-B349-9207-DB51D0F1E7BD}" name="hglE-KS, NRPS, T1PKS, T3PKS" dataDxfId="252" totalsRowDxfId="251"/>
    <tableColumn id="12" xr3:uid="{9A22F856-A375-DE47-A08D-BFE9799D4FEA}" name="hglE-KS,T1PKS" dataDxfId="250" totalsRowDxfId="249"/>
    <tableColumn id="20" xr3:uid="{853D0CF4-B41B-9E43-946D-395CEF57AE4F}" name="hglE-KS, transAT-PKS, T1PKS" dataDxfId="248" totalsRowDxfId="247"/>
    <tableColumn id="47" xr3:uid="{B8221CE4-1B71-8741-B1CF-A41226B842E9}" name="Hserlactoine" dataDxfId="246" totalsRowDxfId="245"/>
    <tableColumn id="52" xr3:uid="{1B02E534-5A94-AC49-BDCB-7632C7D5D638}" name="Indole" dataDxfId="244" totalsRowDxfId="243"/>
    <tableColumn id="58" xr3:uid="{C3C18B5C-0394-F940-BCB9-8822599C267E}" name="Indole, NRPS" dataDxfId="242" totalsRowDxfId="241"/>
    <tableColumn id="96" xr3:uid="{19A37AD1-BB63-CD40-94B9-7598E5C6F824}" name="Indole, NRPS, T1PKS" dataDxfId="240" totalsRowDxfId="239"/>
    <tableColumn id="11" xr3:uid="{56DE3658-29C1-3447-9B10-67639831C6E0}" name="Ladderane" dataDxfId="238" totalsRowDxfId="237"/>
    <tableColumn id="60" xr3:uid="{EA8C49DE-2E91-CD42-8CDE-B5223E858163}" name="Ladderane, lassopeptide" dataDxfId="236" totalsRowDxfId="235"/>
    <tableColumn id="102" xr3:uid="{867DA158-BFE0-CE4F-963A-E6C8604B4BA0}" name="Ladderane, NRPS, T1PKS" dataDxfId="234" totalsRowDxfId="233"/>
    <tableColumn id="26" xr3:uid="{04DB9E0A-DAF1-BA4F-8E54-0F95B67F3701}" name="Lanthipeptide" dataDxfId="232" totalsRowDxfId="231"/>
    <tableColumn id="92" xr3:uid="{3B193D17-35E6-7140-A8D7-676972074BFF}" name="Lanthipeptide, NRPS, PKS" dataDxfId="230" totalsRowDxfId="229"/>
    <tableColumn id="42" xr3:uid="{B0B608C0-A2F7-004F-9FF5-8595F7F5F143}" name="Lanthipeptide, PKS, TPKS, T3PKS" dataDxfId="228" totalsRowDxfId="227"/>
    <tableColumn id="50" xr3:uid="{7ED0D5AC-2169-A44A-9AF6-318763492B6E}" name="LAP" dataDxfId="226" totalsRowDxfId="225"/>
    <tableColumn id="94" xr3:uid="{602770FD-AAAE-6E47-B2F5-C359E16745AD}" name="LAP. NRPS" dataDxfId="224" totalsRowDxfId="223"/>
    <tableColumn id="78" xr3:uid="{DFF55095-4CDB-434A-AB0B-D09BE10B9B82}" name="LAP, thiopeptide" dataDxfId="222" totalsRowDxfId="221"/>
    <tableColumn id="27" xr3:uid="{1A1E91C2-9B6D-904F-98F7-1B9E7B28CF88}" name="Lassopeptide" dataDxfId="220" totalsRowDxfId="219"/>
    <tableColumn id="87" xr3:uid="{396B0C62-E88C-F94D-A393-3AA2E9FFD5B4}" name="Lassopeptide, NRPS" dataDxfId="218" totalsRowDxfId="217"/>
    <tableColumn id="32" xr3:uid="{780A8C45-D423-9540-A4C9-DDC03B2F345A}" name="Microviridin" dataDxfId="216" totalsRowDxfId="215"/>
    <tableColumn id="33" xr3:uid="{3CE30468-F1EC-2E41-9E6B-EF4A7602C878}" name="Microviridin, NRPS" dataDxfId="214" totalsRowDxfId="213"/>
    <tableColumn id="23" xr3:uid="{05F99ED3-2485-C348-879B-78150FFFC8CA}" name="Microviridin, NRPS, T1PKS" dataDxfId="212" totalsRowDxfId="211"/>
    <tableColumn id="105" xr3:uid="{3299340C-7AAE-E54C-99BD-B97EDDA5F6CB}" name="Microviridin, terpene" dataDxfId="210" totalsRowDxfId="209"/>
    <tableColumn id="8" xr3:uid="{03A90C83-2556-3842-BD6F-4E6888F52199}" name="NRPS" dataDxfId="208" totalsRowDxfId="207"/>
    <tableColumn id="104" xr3:uid="{BBFD1FEA-503F-6B4E-B2B8-3022D8C3FA46}" name="NRPS, phosphonate" dataDxfId="206" totalsRowDxfId="205"/>
    <tableColumn id="85" xr3:uid="{9433BE3D-7B1D-874A-808D-4E077B6D6495}" name="NRPS, PKS-like, T1PKS, T3PKS" dataDxfId="204" totalsRowDxfId="203"/>
    <tableColumn id="48" xr3:uid="{2D7BFAF1-24B9-3E41-9BCA-AB2FC369AE90}" name="NRPS, resorcinol" dataDxfId="202" totalsRowDxfId="201"/>
    <tableColumn id="69" xr3:uid="{04CA24BE-2253-9947-9B04-0193C6E66C66}" name="NRPS, terpene" dataDxfId="200" totalsRowDxfId="199"/>
    <tableColumn id="40" xr3:uid="{91E34E5D-A460-A94A-8696-3E7564A49F3D}" name="NRPS, terpene, T1PKS" dataDxfId="198" totalsRowDxfId="197"/>
    <tableColumn id="101" xr3:uid="{FD60EB0B-4C8D-FB40-90DD-BDA5669C9752}" name="NRPS, thiopeptide, T1PKS" dataDxfId="196" totalsRowDxfId="195"/>
    <tableColumn id="24" xr3:uid="{5B71F527-D67B-5845-B796-C42C1F4FC12C}" name="NRPS, T1PKS" dataDxfId="194" totalsRowDxfId="193"/>
    <tableColumn id="61" xr3:uid="{71A93CCC-2EF0-2543-8681-FCC7A3DB7E42}" name="NRPS, terpen, TfuA-related, thipeptide, T1PKS" dataDxfId="192" totalsRowDxfId="191"/>
    <tableColumn id="77" xr3:uid="{B0ABCE62-B0D3-D845-A333-16D54D23910F}" name="NRPS, T1PKS, T3PKS" dataDxfId="190" totalsRowDxfId="189"/>
    <tableColumn id="56" xr3:uid="{A28FB407-3163-0D4F-B001-BDE008C88F59}" name="Oligosaccharide" dataDxfId="188" totalsRowDxfId="187"/>
    <tableColumn id="98" xr3:uid="{05BB4B75-8BF2-244A-A274-AB5A247EADC0}" name="Oligosaccharide, other" dataDxfId="186" totalsRowDxfId="185"/>
    <tableColumn id="100" xr3:uid="{7F9309B3-5113-674D-BFA4-5983E198CE59}" name="Oligosaccharide, terpene" dataDxfId="184" totalsRowDxfId="183"/>
    <tableColumn id="84" xr3:uid="{E8F171BC-CAC8-C647-97A8-A23D50D5F661}" name="Other" dataDxfId="182" totalsRowDxfId="181"/>
    <tableColumn id="91" xr3:uid="{F9A46899-1273-7144-86D6-924FDE763C78}" name="Phenazine" dataDxfId="180" totalsRowDxfId="179"/>
    <tableColumn id="72" xr3:uid="{538680A8-5051-4C4A-B064-A83FB1183D1E}" name="Phosphonate" dataDxfId="178" totalsRowDxfId="177"/>
    <tableColumn id="89" xr3:uid="{976734D7-93AB-6047-BA05-85A3CA4FC0CB}" name="Phosphonate, terpene" dataDxfId="176" totalsRowDxfId="175"/>
    <tableColumn id="59" xr3:uid="{37877ABE-92CE-1846-913B-465246813E0A}" name="PKS-like, T1PKS, T3PKS" dataDxfId="174" totalsRowDxfId="173"/>
    <tableColumn id="74" xr3:uid="{929087B9-65BC-9547-9477-CF73959A9AB1}" name="Proteusin" dataDxfId="172" totalsRowDxfId="171"/>
    <tableColumn id="28" xr3:uid="{6FC66FB4-211D-D84A-97F1-5D1FBFF615A6}" name="Resorcinol" dataDxfId="170" totalsRowDxfId="169"/>
    <tableColumn id="5" xr3:uid="{75EF4EED-ABC4-5441-AC3B-025A02BA4C5B}" name="Siderophore" dataDxfId="168" totalsRowDxfId="167"/>
    <tableColumn id="37" xr3:uid="{5898DF85-513E-6247-8AF3-4B1A8F57C0EF}" name="Terpene" dataDxfId="166" totalsRowDxfId="165" dataCellStyle="Normal"/>
    <tableColumn id="76" xr3:uid="{61E1D5C4-5985-E745-8C5B-D13AC0E737B3}" name="Terpene, Thiopeptide" dataDxfId="164" totalsRowDxfId="163"/>
    <tableColumn id="31" xr3:uid="{3E40C637-7A85-034F-9229-B68C2E69FD79}" name="Terpene, T1PKS" dataDxfId="162" totalsRowDxfId="161"/>
    <tableColumn id="51" xr3:uid="{941234CF-D24E-9542-8EA5-6C890C306ACC}" name="Terpene, T3PKS" dataDxfId="160" totalsRowDxfId="159"/>
    <tableColumn id="63" xr3:uid="{6E35CC76-AB9B-A04C-A27E-56711005198B}" name="TfuA-related" dataDxfId="158" totalsRowDxfId="157"/>
    <tableColumn id="19" xr3:uid="{8E6E841D-7571-A34A-8B49-4F914D891B5A}" name="TfuA-related, Thiopeptide" dataDxfId="156" totalsRowDxfId="155"/>
    <tableColumn id="34" xr3:uid="{0896DD38-5E98-FC41-866D-15401304904E}" name="Thiopeptide" dataDxfId="154" totalsRowDxfId="153"/>
    <tableColumn id="62" xr3:uid="{05BFC7BF-9C35-5245-A3E8-B26B5327BBCE}" name="transAT-PKS" dataDxfId="152" totalsRowDxfId="151"/>
    <tableColumn id="39" xr3:uid="{F64B4A5C-1481-FD4D-B53E-4883C2EFB35E}" name="transAT-PKS, T1PKS" dataDxfId="150" totalsRowDxfId="149"/>
    <tableColumn id="46" xr3:uid="{F09D85A4-322E-D94B-A047-2AF5CB9B98F7}" name="T1PKS" dataDxfId="148" totalsRowDxfId="147"/>
    <tableColumn id="41" xr3:uid="{760988FA-3E14-3E4B-B926-1F41D8E3A8C3}" name="T1PKS, T3PKS" dataDxfId="146" totalsRowDxfId="145"/>
    <tableColumn id="65" xr3:uid="{ED4EA786-36E8-944F-9093-9DB2CE624ECE}" name="T2PKS" dataDxfId="144" totalsRowDxfId="143"/>
    <tableColumn id="16" xr3:uid="{98B93B3E-A682-3E43-82A5-A0D05AEC7223}" name="T3PKS" dataDxfId="142" totalsRowDxfId="141"/>
    <tableColumn id="45" xr3:uid="{E9F0C60F-5D61-1841-9E83-447A59D128A6}" name="Total BGCs" dataDxfId="140" totalsRowDxfId="139" dataCellStyle="Normal"/>
    <tableColumn id="44" xr3:uid="{2E392D08-9D6A-4F4E-A070-9E497AAA06F8}" name="Known NP" totalsRowFunction="count" dataDxfId="138" totalsRowDxfId="137" dataCellStyle="Normal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661C091-5531-4438-BE04-F2EF7AAE0C87}" name="Tabela2" displayName="Tabela2" ref="CW1:DB189" totalsRowCount="1" headerRowDxfId="136" dataDxfId="135" totalsRowDxfId="134" totalsRowBorderDxfId="133">
  <autoFilter ref="CW1:DB188" xr:uid="{2A85C69A-CD87-4055-8EBD-9CA494147B71}"/>
  <tableColumns count="6">
    <tableColumn id="1" xr3:uid="{91BE3863-4F8D-4555-8B36-8042E903996D}" name="NRPS" totalsRowFunction="custom" dataDxfId="132" totalsRowDxfId="131">
      <calculatedColumnFormula>Table7[[#This Row],[NRPS]]</calculatedColumnFormula>
      <totalsRowFormula>SUM(Tabela2[NRPS])</totalsRowFormula>
    </tableColumn>
    <tableColumn id="2" xr3:uid="{14828DFA-8DC5-466B-B74A-28E7612CF13E}" name="PKS" totalsRowFunction="custom" dataDxfId="130" totalsRowDxfId="129">
      <calculatedColumnFormula>SUM(CP2,CR2,CS2,Table7[[#This Row],[T1PKS, T3PKS]])</calculatedColumnFormula>
      <totalsRowFormula>SUM(Tabela2[PKS])</totalsRowFormula>
    </tableColumn>
    <tableColumn id="3" xr3:uid="{38295DD3-DC58-423F-A49D-E103110CC499}" name="NRPS/PKS" totalsRowFunction="custom" dataDxfId="128" totalsRowDxfId="127">
      <calculatedColumnFormula>SUM(BU2,BS2,BN2)</calculatedColumnFormula>
      <totalsRowFormula>SUM(Tabela2[NRPS/PKS])</totalsRowFormula>
    </tableColumn>
    <tableColumn id="4" xr3:uid="{EC1A2DCC-5603-43B9-882D-78C750299421}" name="Terpene" totalsRowFunction="custom" dataDxfId="126" totalsRowDxfId="125">
      <calculatedColumnFormula>Table7[[#This Row],[Terpene]]</calculatedColumnFormula>
      <totalsRowFormula>SUM(Tabela2[Terpene])</totalsRowFormula>
    </tableColumn>
    <tableColumn id="5" xr3:uid="{E8A12380-27D8-40D1-89CA-7F245AA09BFE}" name="RIPPs" totalsRowFunction="custom" dataDxfId="124" totalsRowDxfId="123">
      <calculatedColumnFormula>SUM(Table7[[#This Row],[Thiopeptide]],BH2,BF2,BE2,BC2,AZ2,AX2,AW2,AJ2,AH2,N2,L2,J2,H2,I2,K2,R2,Q2,Table7[[#This Row],[Cyanobactin, LAP]])</calculatedColumnFormula>
      <totalsRowFormula>SUM(Tabela2[RIPPs])</totalsRowFormula>
    </tableColumn>
    <tableColumn id="6" xr3:uid="{6C78CFD7-B584-4613-9144-462E35D6F451}" name="Others" totalsRowFunction="custom" dataDxfId="122">
      <calculatedColumnFormula>SUM(CO2,CN2,CL2,CK2,CJ2,CI2,CH2,CF2,CE2,CD2,CB2,CA2,BZ2,BY2,BX2,BW2,BV2,BT2,BR2,BQ2,BP2,BO2,BM2,BK2,BJ2,BI2,BG2,BD2,BB2,BA2,AY2,AV2,AU2,AT2,AS2,AR2,AQ2,AP2,AO2,AN2,AM2,AL2,AK2,AG2,AF2,AE2,AD2,AC2,AB2,AA2,Z2,Y2,X2,W2,V2,U2,T2,S2,P2,O2,M2,Table7[[#This Row],[Acyl_amino_acids]],E2,F2,G2,)</calculatedColumnFormula>
      <totalsRowFormula>SUM(Tabela2[Others])</totalsRow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AA401A3-4375-304E-8A11-38EE731E6B46}" name="Table4" displayName="Table4" ref="A1:AG75" totalsRowCount="1" headerRowDxfId="121" dataDxfId="120" headerRowCellStyle="Normal" dataCellStyle="Normal">
  <autoFilter ref="A1:AG74" xr:uid="{65D88809-9270-9C45-BD42-5E7E679EAADF}"/>
  <sortState xmlns:xlrd2="http://schemas.microsoft.com/office/spreadsheetml/2017/richdata2" ref="A2:AG73">
    <sortCondition ref="A1:A73"/>
  </sortState>
  <tableColumns count="33">
    <tableColumn id="1" xr3:uid="{FA7233C4-49B5-7C40-AFFB-CF0A2050084B}" name="Genome" totalsRowLabel="Total" dataDxfId="119" totalsRowDxfId="32" dataCellStyle="Normal"/>
    <tableColumn id="2" xr3:uid="{03CB1A57-D640-6745-9577-081C9470BF92}" name="Name" dataDxfId="118" totalsRowDxfId="31" dataCellStyle="Normal"/>
    <tableColumn id="3" xr3:uid="{8775D7C8-DC84-F445-B678-235601C74103}" name="Accession number" dataDxfId="117" totalsRowDxfId="30" dataCellStyle="Normal"/>
    <tableColumn id="30" xr3:uid="{CAECE14D-F2E7-3F47-8E27-CA231E70BDD7}" name="Plasmid size (bp)" dataDxfId="116" totalsRowDxfId="29"/>
    <tableColumn id="20" xr3:uid="{E03F05A3-AE04-574E-9873-B3154E236A07}" name="Bacteriocin" totalsRowFunction="custom" dataDxfId="115" totalsRowDxfId="28">
      <totalsRowFormula>SUM(Table4[Bacteriocin])</totalsRowFormula>
    </tableColumn>
    <tableColumn id="18" xr3:uid="{DB03595E-9BE6-2E4F-BA40-129C323F49D0}" name="Bacteriocin, Lanthipeptide" totalsRowFunction="custom" dataDxfId="114" totalsRowDxfId="27">
      <totalsRowFormula>SUM(Table4[Bacteriocin, Lanthipeptide])</totalsRowFormula>
    </tableColumn>
    <tableColumn id="40" xr3:uid="{4508B4CB-2CFF-B149-9AAF-B826A77FEF11}" name="Bacteriocin, lassopeptide" totalsRowFunction="custom" dataDxfId="113" totalsRowDxfId="26">
      <totalsRowFormula>SUM(Table4[Bacteriocin, lassopeptide])</totalsRowFormula>
    </tableColumn>
    <tableColumn id="35" xr3:uid="{5965E4AE-2235-5442-BB35-E9A0F8A41BF1}" name="Bacteriocin, NRPS, other, T1PKS" totalsRowFunction="custom" dataDxfId="112" totalsRowDxfId="25">
      <totalsRowFormula>SUM(Table4[Bacteriocin, NRPS, other, T1PKS])</totalsRowFormula>
    </tableColumn>
    <tableColumn id="32" xr3:uid="{16A6ADD5-DA71-3D43-A2C5-9C1337D35AA7}" name="Betalactone, NRPS, T1PKS" totalsRowFunction="custom" dataDxfId="111" totalsRowDxfId="24">
      <totalsRowFormula>SUM(Table4[Betalactone, NRPS, T1PKS])</totalsRowFormula>
    </tableColumn>
    <tableColumn id="39" xr3:uid="{5296A350-3306-7645-AAFE-98AB09347C98}" name="Bacteriocin, TfaA-related" totalsRowFunction="custom" dataDxfId="110" totalsRowDxfId="23">
      <totalsRowFormula>SUM(Table4[Bacteriocin, TfaA-related])</totalsRowFormula>
    </tableColumn>
    <tableColumn id="14" xr3:uid="{3313A7B1-C935-B141-A7B4-F9155FEC75FE}" name="Cyanobactin" totalsRowFunction="custom" dataDxfId="109" totalsRowDxfId="22">
      <totalsRowFormula>SUM(Table4[Cyanobactin])</totalsRowFormula>
    </tableColumn>
    <tableColumn id="24" xr3:uid="{0FF0392A-FBD4-3A43-BAA4-06293589CC94}" name="Cyanobactin, LAP" totalsRowFunction="custom" dataDxfId="108" totalsRowDxfId="21">
      <totalsRowFormula>SUM(Table4[Cyanobactin, LAP])</totalsRowFormula>
    </tableColumn>
    <tableColumn id="22" xr3:uid="{4A5BE4AC-38ED-8E4F-84B3-02C9D78E3CD7}" name="Ectoine" totalsRowFunction="custom" dataDxfId="107" totalsRowDxfId="20">
      <totalsRowFormula>SUM(Table4[Ectoine])</totalsRowFormula>
    </tableColumn>
    <tableColumn id="37" xr3:uid="{2F981B1C-F85D-5347-8D78-6EE608310125}" name="hglE-KS, NRPS, resorcinol, T1PKS" totalsRowFunction="custom" dataDxfId="106" totalsRowDxfId="19">
      <totalsRowFormula>SUM(Table4[hglE-KS, NRPS, resorcinol, T1PKS])</totalsRowFormula>
    </tableColumn>
    <tableColumn id="36" xr3:uid="{3508B829-F45F-324C-AE47-3CCD72ED70D2}" name="Indole" totalsRowFunction="custom" dataDxfId="105" totalsRowDxfId="18">
      <totalsRowFormula>SUM(Table4[Indole])</totalsRowFormula>
    </tableColumn>
    <tableColumn id="12" xr3:uid="{EDE9B1B9-5A47-7443-BF04-4FDDC43E819B}" name="Lanthipeptide" totalsRowFunction="custom" dataDxfId="104" totalsRowDxfId="17">
      <totalsRowFormula>SUM(Table4[Lanthipeptide])</totalsRowFormula>
    </tableColumn>
    <tableColumn id="21" xr3:uid="{D8F268D6-5556-5843-BDAB-6CE8B9131007}" name="LAP" totalsRowFunction="custom" dataDxfId="103" totalsRowDxfId="16">
      <totalsRowFormula>SUM(Table4[LAP])</totalsRowFormula>
    </tableColumn>
    <tableColumn id="27" xr3:uid="{534A7448-C6BB-2742-BF00-8618A2524750}" name="Lassopeptide" totalsRowFunction="custom" dataDxfId="102" totalsRowDxfId="15">
      <totalsRowFormula>SUM(Table4[Lassopeptide])</totalsRowFormula>
    </tableColumn>
    <tableColumn id="19" xr3:uid="{59CC8C54-8170-0448-81EE-990EE18D42C8}" name="Microviridin" totalsRowFunction="custom" dataDxfId="101" totalsRowDxfId="14" dataCellStyle="Normal">
      <totalsRowFormula>SUM(Table4[Microviridin])</totalsRowFormula>
    </tableColumn>
    <tableColumn id="33" xr3:uid="{B6F3A067-55C2-044A-98CB-340FAE765032}" name="Microviridin, NRPS, T1PKS" totalsRowFunction="custom" dataDxfId="100" totalsRowDxfId="13">
      <totalsRowFormula>SUM(Table4[Microviridin, NRPS, T1PKS])</totalsRowFormula>
    </tableColumn>
    <tableColumn id="11" xr3:uid="{CB59CE3F-47A1-9545-B95A-F10824713828}" name="NRPS" totalsRowFunction="custom" dataDxfId="99" totalsRowDxfId="12">
      <totalsRowFormula>SUM(Table4[NRPS])</totalsRowFormula>
    </tableColumn>
    <tableColumn id="34" xr3:uid="{D75AD6B6-51C4-4C46-A8E0-52399264EE99}" name="NRPS, terpene" totalsRowFunction="custom" dataDxfId="98" totalsRowDxfId="11">
      <totalsRowFormula>SUM(Table4[NRPS, terpene])</totalsRowFormula>
    </tableColumn>
    <tableColumn id="26" xr3:uid="{692CCA30-21F6-5849-ADEA-AD855B8F5F1F}" name="NRPS, transAT-PKS-like, T1PKS" totalsRowFunction="custom" dataDxfId="97" totalsRowDxfId="10">
      <totalsRowFormula>SUM(Table4[NRPS, transAT-PKS-like, T1PKS])</totalsRowFormula>
    </tableColumn>
    <tableColumn id="13" xr3:uid="{C0139A07-9D24-4C4D-9C4C-00B2B5E01FAC}" name="NRPS, T1PKS" totalsRowFunction="custom" dataDxfId="96" totalsRowDxfId="9">
      <totalsRowFormula>SUM(Table4[NRPS, T1PKS])</totalsRowFormula>
    </tableColumn>
    <tableColumn id="23" xr3:uid="{10E0C08B-60DE-F745-9485-BE713BD34247}" name="Nucleoside" totalsRowFunction="custom" dataDxfId="95" totalsRowDxfId="8">
      <totalsRowFormula>SUM(Table4[Nucleoside])</totalsRowFormula>
    </tableColumn>
    <tableColumn id="38" xr3:uid="{C3CAADCF-0FF3-DD42-BC2B-60AF409567D5}" name="Resorcinol" totalsRowFunction="custom" dataDxfId="94" totalsRowDxfId="7">
      <totalsRowFormula>SUM(Table4[Resorcinol])</totalsRowFormula>
    </tableColumn>
    <tableColumn id="15" xr3:uid="{7C6BC140-3F0A-4A44-8824-150A160181AA}" name="Siderophore" totalsRowFunction="custom" dataDxfId="93" totalsRowDxfId="6">
      <totalsRowFormula>SUM(Table4[Siderophore])</totalsRowFormula>
    </tableColumn>
    <tableColumn id="29" xr3:uid="{5489ACE3-05CE-044F-8B22-5D76CD41633E}" name="Terpene" totalsRowFunction="custom" dataDxfId="92" totalsRowDxfId="5">
      <totalsRowFormula>SUM(Table4[Terpene])</totalsRowFormula>
    </tableColumn>
    <tableColumn id="31" xr3:uid="{6D88AF61-13B8-FA41-B475-701823248B7C}" name="TfuA-relate, thipeptide" totalsRowFunction="custom" dataDxfId="91" totalsRowDxfId="4">
      <totalsRowFormula>SUM(Table4[TfuA-relate, thipeptide])</totalsRowFormula>
    </tableColumn>
    <tableColumn id="25" xr3:uid="{B5E9781C-5289-1B48-881E-C80777247126}" name="Thiopeptide" totalsRowFunction="custom" dataDxfId="90" totalsRowDxfId="3">
      <totalsRowFormula>SUM(Table4[Thiopeptide])</totalsRowFormula>
    </tableColumn>
    <tableColumn id="28" xr3:uid="{B0733F3D-8968-1D47-A8BC-3644589FAB9C}" name="T1PKS" totalsRowFunction="custom" dataDxfId="89" totalsRowDxfId="2">
      <totalsRowFormula>SUM(Table4[T1PKS])</totalsRowFormula>
    </tableColumn>
    <tableColumn id="17" xr3:uid="{57D0763F-29CB-A544-96A3-306E0A47FFFF}" name="Total BGCs" totalsRowFunction="custom" dataDxfId="88" totalsRowDxfId="1" dataCellStyle="Normal">
      <calculatedColumnFormula>SUM(Table4[[#This Row],[Bacteriocin]:[T1PKS]])</calculatedColumnFormula>
      <totalsRowFormula>SUM(Table4[Total BGCs])</totalsRowFormula>
    </tableColumn>
    <tableColumn id="16" xr3:uid="{7E0E1EE5-9156-9844-8542-FAFBABBB890A}" name="Known NP" dataDxfId="87" totalsRowDxfId="0" dataCellStyle="Normal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D2DC45F-BB47-40FC-B830-F5E33472B533}" name="Tabela3" displayName="Tabela3" ref="AJ1:AO75" totalsRowCount="1" headerRowDxfId="86" dataDxfId="84" totalsRowDxfId="82" headerRowBorderDxfId="85" tableBorderDxfId="83" totalsRowBorderDxfId="81">
  <autoFilter ref="AJ1:AO74" xr:uid="{587756DC-61F7-4702-981B-A764F1D1FB6F}"/>
  <tableColumns count="6">
    <tableColumn id="1" xr3:uid="{73EF0C0C-0C96-481C-82B3-2F288E612BC4}" name="NRPS" totalsRowFunction="custom" dataDxfId="80" totalsRowDxfId="79">
      <calculatedColumnFormula>Table4[[#This Row],[NRPS]]</calculatedColumnFormula>
      <totalsRowFormula>SUM(Tabela3[NRPS])</totalsRowFormula>
    </tableColumn>
    <tableColumn id="2" xr3:uid="{6836A0E2-6375-4CFF-BC11-7CC1A9D2DC18}" name="PKS" totalsRowFunction="custom" dataDxfId="78" totalsRowDxfId="77">
      <calculatedColumnFormula>Table4[[#This Row],[T1PKS]]</calculatedColumnFormula>
      <totalsRowFormula>SUM(Tabela3[PKS])</totalsRowFormula>
    </tableColumn>
    <tableColumn id="3" xr3:uid="{21DB9FFC-B06F-450E-89DF-45CDB98A128E}" name="NRPS/PKS" totalsRowFunction="custom" dataDxfId="76" totalsRowDxfId="75">
      <calculatedColumnFormula>Table4[[#This Row],[NRPS, T1PKS]]</calculatedColumnFormula>
      <totalsRowFormula>SUM(Tabela3[NRPS/PKS])</totalsRowFormula>
    </tableColumn>
    <tableColumn id="4" xr3:uid="{9E9D978A-3D08-4E6A-A9E3-13A15AD22D9C}" name="Terpene" totalsRowFunction="custom" dataDxfId="74" totalsRowDxfId="73">
      <calculatedColumnFormula>Table4[[#This Row],[Terpene]]</calculatedColumnFormula>
      <totalsRowFormula>SUM(Tabela3[Terpene])</totalsRowFormula>
    </tableColumn>
    <tableColumn id="5" xr3:uid="{DBD8E319-51F3-472A-963A-1633D478E56A}" name="RIPPs" totalsRowFunction="custom" dataDxfId="72" totalsRowDxfId="71">
      <calculatedColumnFormula>SUM(AD2,S2,R2,Q2,P2,K2,L2,G2,F2,E2)</calculatedColumnFormula>
      <totalsRowFormula>SUM(Tabela3[RIPPs])</totalsRowFormula>
    </tableColumn>
    <tableColumn id="6" xr3:uid="{C76D5A28-3388-439B-BC06-7D172088EEBA}" name="Others" totalsRowFunction="custom" dataDxfId="70" totalsRowDxfId="69">
      <calculatedColumnFormula>SUM(AC2,AA2,Z2,Y2,W2,V2,T2,O2,N2,M2,J2,I2,H2)</calculatedColumnFormula>
      <totalsRowFormula>SUM(Tabela3[Others])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6A9C4-BD69-5A46-B939-83950A3B5596}">
  <dimension ref="A1:U187"/>
  <sheetViews>
    <sheetView topLeftCell="A75" zoomScale="80" zoomScaleNormal="80" workbookViewId="0">
      <selection activeCell="A97" sqref="A97"/>
    </sheetView>
  </sheetViews>
  <sheetFormatPr defaultColWidth="10.875" defaultRowHeight="15.75" x14ac:dyDescent="0.25"/>
  <cols>
    <col min="1" max="1" width="67.625" style="2" bestFit="1" customWidth="1"/>
    <col min="2" max="2" width="17.375" style="2" bestFit="1" customWidth="1"/>
    <col min="3" max="3" width="12.5" style="2" bestFit="1" customWidth="1"/>
    <col min="4" max="4" width="16.625" style="2" bestFit="1" customWidth="1"/>
    <col min="5" max="5" width="11.5" style="12" bestFit="1" customWidth="1"/>
    <col min="6" max="6" width="11" style="14" bestFit="1" customWidth="1"/>
    <col min="7" max="7" width="12.875" style="14" customWidth="1"/>
    <col min="8" max="8" width="12.375" style="2" bestFit="1" customWidth="1"/>
    <col min="9" max="9" width="10.625" style="2" bestFit="1" customWidth="1"/>
    <col min="10" max="10" width="25" style="2" bestFit="1" customWidth="1"/>
    <col min="11" max="11" width="10.125" style="2" bestFit="1" customWidth="1"/>
    <col min="12" max="12" width="15.625" style="13" bestFit="1" customWidth="1"/>
    <col min="13" max="13" width="18.625" style="2" customWidth="1"/>
    <col min="14" max="14" width="15.625" style="2" bestFit="1" customWidth="1"/>
    <col min="15" max="15" width="23.625" style="2" customWidth="1"/>
    <col min="16" max="16" width="15.125" style="2" bestFit="1" customWidth="1"/>
    <col min="17" max="17" width="19.375" style="2" bestFit="1" customWidth="1"/>
    <col min="18" max="18" width="16.625" style="2" bestFit="1" customWidth="1"/>
    <col min="19" max="19" width="5.875" style="2" bestFit="1" customWidth="1"/>
    <col min="20" max="20" width="28.25" style="2" customWidth="1"/>
    <col min="21" max="21" width="18.25" style="2" customWidth="1"/>
    <col min="22" max="22" width="19.125" style="2" bestFit="1" customWidth="1"/>
    <col min="23" max="16384" width="10.875" style="2"/>
  </cols>
  <sheetData>
    <row r="1" spans="1:20" x14ac:dyDescent="0.25">
      <c r="A1" s="2" t="s">
        <v>923</v>
      </c>
      <c r="B1" s="2" t="s">
        <v>531</v>
      </c>
      <c r="C1" s="2" t="s">
        <v>0</v>
      </c>
      <c r="D1" s="2" t="s">
        <v>532</v>
      </c>
      <c r="E1" s="12" t="s">
        <v>1</v>
      </c>
      <c r="F1" s="14" t="s">
        <v>3</v>
      </c>
      <c r="G1" s="14" t="s">
        <v>5</v>
      </c>
      <c r="H1" s="2" t="s">
        <v>6</v>
      </c>
      <c r="I1" s="2" t="s">
        <v>420</v>
      </c>
      <c r="J1" s="2" t="s">
        <v>530</v>
      </c>
      <c r="K1" s="2" t="s">
        <v>422</v>
      </c>
      <c r="L1" s="2" t="s">
        <v>2</v>
      </c>
      <c r="M1" s="2" t="s">
        <v>4</v>
      </c>
      <c r="N1" s="2" t="s">
        <v>483</v>
      </c>
      <c r="O1" s="2" t="s">
        <v>626</v>
      </c>
      <c r="P1" s="2" t="s">
        <v>484</v>
      </c>
      <c r="Q1" s="2" t="s">
        <v>627</v>
      </c>
      <c r="R1" s="2" t="s">
        <v>485</v>
      </c>
    </row>
    <row r="2" spans="1:20" x14ac:dyDescent="0.25">
      <c r="A2" s="22" t="s">
        <v>629</v>
      </c>
      <c r="B2" s="9" t="s">
        <v>15</v>
      </c>
      <c r="C2" s="2" t="s">
        <v>8</v>
      </c>
      <c r="D2" s="12">
        <v>8.36</v>
      </c>
      <c r="E2" s="18">
        <v>46.99</v>
      </c>
      <c r="F2" s="29">
        <v>7046</v>
      </c>
      <c r="G2" s="14">
        <v>7579</v>
      </c>
      <c r="H2" s="2">
        <v>74</v>
      </c>
      <c r="I2" s="2">
        <v>1</v>
      </c>
      <c r="J2" s="2" t="s">
        <v>192</v>
      </c>
      <c r="K2" s="2">
        <v>9</v>
      </c>
      <c r="L2" s="2">
        <v>10</v>
      </c>
      <c r="M2" s="16">
        <v>39371</v>
      </c>
      <c r="N2" s="2">
        <v>10</v>
      </c>
      <c r="O2" s="2" t="s">
        <v>192</v>
      </c>
      <c r="P2" s="2">
        <v>2</v>
      </c>
      <c r="Q2" s="2" t="s">
        <v>192</v>
      </c>
      <c r="R2" s="2">
        <f>SUM(N2,P2)</f>
        <v>12</v>
      </c>
    </row>
    <row r="3" spans="1:20" x14ac:dyDescent="0.25">
      <c r="A3" s="9" t="s">
        <v>929</v>
      </c>
      <c r="B3" s="9" t="s">
        <v>40</v>
      </c>
      <c r="C3" s="2" t="s">
        <v>8</v>
      </c>
      <c r="D3" s="12">
        <v>5.31</v>
      </c>
      <c r="E3" s="18">
        <v>38.090000000000003</v>
      </c>
      <c r="F3" s="29">
        <v>4520</v>
      </c>
      <c r="G3" s="14">
        <v>4918</v>
      </c>
      <c r="H3" s="2">
        <v>44</v>
      </c>
      <c r="I3" s="2">
        <v>2</v>
      </c>
      <c r="J3" s="2" t="s">
        <v>192</v>
      </c>
      <c r="K3" s="2">
        <v>3</v>
      </c>
      <c r="L3" s="2">
        <v>5</v>
      </c>
      <c r="M3" s="16">
        <v>41226</v>
      </c>
      <c r="N3" s="2">
        <v>12</v>
      </c>
      <c r="O3" s="2" t="s">
        <v>924</v>
      </c>
      <c r="P3" s="2" t="s">
        <v>192</v>
      </c>
      <c r="Q3" s="2" t="s">
        <v>192</v>
      </c>
      <c r="R3" s="2">
        <f>SUM(N3,P3)</f>
        <v>12</v>
      </c>
      <c r="S3" s="42" t="s">
        <v>621</v>
      </c>
      <c r="T3" s="43"/>
    </row>
    <row r="4" spans="1:20" x14ac:dyDescent="0.25">
      <c r="A4" s="9" t="s">
        <v>640</v>
      </c>
      <c r="B4" s="9" t="s">
        <v>108</v>
      </c>
      <c r="C4" s="2" t="s">
        <v>435</v>
      </c>
      <c r="D4" s="12">
        <v>7.03</v>
      </c>
      <c r="E4" s="18">
        <v>38.82</v>
      </c>
      <c r="F4" s="29">
        <v>5778</v>
      </c>
      <c r="G4" s="14">
        <v>6158</v>
      </c>
      <c r="H4" s="2">
        <v>61</v>
      </c>
      <c r="I4" s="2">
        <v>1</v>
      </c>
      <c r="J4" s="2" t="s">
        <v>192</v>
      </c>
      <c r="K4" s="2">
        <v>5</v>
      </c>
      <c r="L4" s="2">
        <v>6</v>
      </c>
      <c r="M4" s="16">
        <v>42910</v>
      </c>
      <c r="N4" s="2">
        <v>12</v>
      </c>
      <c r="O4" s="2" t="s">
        <v>196</v>
      </c>
      <c r="P4" s="2">
        <v>1</v>
      </c>
      <c r="Q4" s="2" t="s">
        <v>192</v>
      </c>
      <c r="R4" s="2">
        <f>SUM(N4,P4)</f>
        <v>13</v>
      </c>
      <c r="S4" s="10" t="s">
        <v>420</v>
      </c>
      <c r="T4" s="11" t="s">
        <v>421</v>
      </c>
    </row>
    <row r="5" spans="1:20" x14ac:dyDescent="0.25">
      <c r="A5" s="9" t="s">
        <v>640</v>
      </c>
      <c r="B5" s="9" t="s">
        <v>23</v>
      </c>
      <c r="C5" s="2" t="s">
        <v>8</v>
      </c>
      <c r="D5" s="12">
        <v>7.06</v>
      </c>
      <c r="E5" s="18">
        <v>38.799999999999997</v>
      </c>
      <c r="F5" s="29">
        <v>5732</v>
      </c>
      <c r="G5" s="14">
        <v>6230</v>
      </c>
      <c r="H5" s="2">
        <v>67</v>
      </c>
      <c r="I5" s="2">
        <v>1</v>
      </c>
      <c r="J5" s="2" t="s">
        <v>192</v>
      </c>
      <c r="K5" s="2">
        <v>6</v>
      </c>
      <c r="L5" s="2">
        <v>7</v>
      </c>
      <c r="M5" s="16">
        <v>41250</v>
      </c>
      <c r="N5" s="2">
        <v>12</v>
      </c>
      <c r="O5" s="2" t="s">
        <v>196</v>
      </c>
      <c r="P5" s="2">
        <v>1</v>
      </c>
      <c r="Q5" s="2" t="s">
        <v>192</v>
      </c>
      <c r="R5" s="2">
        <f>SUM(N5,P5)</f>
        <v>13</v>
      </c>
      <c r="S5" s="10" t="s">
        <v>622</v>
      </c>
      <c r="T5" s="11" t="s">
        <v>623</v>
      </c>
    </row>
    <row r="6" spans="1:20" x14ac:dyDescent="0.25">
      <c r="A6" s="9" t="s">
        <v>643</v>
      </c>
      <c r="B6" s="9" t="s">
        <v>99</v>
      </c>
      <c r="C6" s="2" t="s">
        <v>8</v>
      </c>
      <c r="D6" s="12">
        <v>5.78</v>
      </c>
      <c r="E6" s="18">
        <v>38.380000000000003</v>
      </c>
      <c r="F6" s="29">
        <v>4927</v>
      </c>
      <c r="G6" s="14">
        <v>5370</v>
      </c>
      <c r="H6" s="2">
        <v>43</v>
      </c>
      <c r="I6" s="2">
        <v>1</v>
      </c>
      <c r="J6" s="2" t="s">
        <v>192</v>
      </c>
      <c r="K6" s="2">
        <v>1</v>
      </c>
      <c r="L6" s="2">
        <v>2</v>
      </c>
      <c r="M6" s="16">
        <v>42248</v>
      </c>
      <c r="N6" s="2">
        <v>15</v>
      </c>
      <c r="O6" s="2" t="s">
        <v>196</v>
      </c>
      <c r="P6" s="2">
        <v>1</v>
      </c>
      <c r="Q6" s="2" t="s">
        <v>192</v>
      </c>
      <c r="R6" s="2">
        <f>SUM(N6,P6)</f>
        <v>16</v>
      </c>
      <c r="S6" s="10" t="s">
        <v>422</v>
      </c>
      <c r="T6" s="11" t="s">
        <v>423</v>
      </c>
    </row>
    <row r="7" spans="1:20" x14ac:dyDescent="0.25">
      <c r="A7" s="9" t="s">
        <v>804</v>
      </c>
      <c r="B7" s="9" t="s">
        <v>432</v>
      </c>
      <c r="C7" s="2" t="s">
        <v>8</v>
      </c>
      <c r="D7" s="12">
        <v>7.01</v>
      </c>
      <c r="E7" s="18">
        <v>41.4</v>
      </c>
      <c r="F7" s="29">
        <v>5606</v>
      </c>
      <c r="G7" s="14">
        <v>5890</v>
      </c>
      <c r="H7" s="2">
        <v>46</v>
      </c>
      <c r="I7" s="2">
        <v>1</v>
      </c>
      <c r="J7" s="2" t="s">
        <v>192</v>
      </c>
      <c r="K7" s="2" t="s">
        <v>192</v>
      </c>
      <c r="L7" s="2">
        <v>1</v>
      </c>
      <c r="M7" s="16">
        <v>43773</v>
      </c>
      <c r="N7" s="13">
        <v>18</v>
      </c>
      <c r="O7" s="2" t="s">
        <v>323</v>
      </c>
      <c r="P7" s="2" t="s">
        <v>192</v>
      </c>
      <c r="Q7" s="2" t="s">
        <v>192</v>
      </c>
      <c r="R7" s="2">
        <f>SUM(N7,P7)</f>
        <v>18</v>
      </c>
      <c r="S7" s="10"/>
      <c r="T7" s="11"/>
    </row>
    <row r="8" spans="1:20" x14ac:dyDescent="0.25">
      <c r="A8" s="9" t="s">
        <v>768</v>
      </c>
      <c r="B8" s="9" t="s">
        <v>71</v>
      </c>
      <c r="C8" s="2" t="s">
        <v>435</v>
      </c>
      <c r="D8" s="12">
        <v>7.07</v>
      </c>
      <c r="E8" s="18">
        <v>40.520000000000003</v>
      </c>
      <c r="F8" s="29">
        <v>5747</v>
      </c>
      <c r="G8" s="14">
        <v>6068</v>
      </c>
      <c r="H8" s="2">
        <v>97</v>
      </c>
      <c r="I8" s="2">
        <v>1</v>
      </c>
      <c r="J8" s="2" t="s">
        <v>192</v>
      </c>
      <c r="K8" s="2">
        <v>3</v>
      </c>
      <c r="L8" s="2">
        <v>4</v>
      </c>
      <c r="M8" s="16">
        <v>42910</v>
      </c>
      <c r="N8" s="2">
        <v>13</v>
      </c>
      <c r="O8" s="2" t="s">
        <v>218</v>
      </c>
      <c r="P8" s="2" t="s">
        <v>192</v>
      </c>
      <c r="Q8" s="2" t="s">
        <v>192</v>
      </c>
      <c r="R8" s="2">
        <f>SUM(N8,P8)</f>
        <v>13</v>
      </c>
      <c r="S8" s="10"/>
      <c r="T8" s="11"/>
    </row>
    <row r="9" spans="1:20" x14ac:dyDescent="0.25">
      <c r="A9" s="9" t="s">
        <v>706</v>
      </c>
      <c r="B9" s="9" t="s">
        <v>118</v>
      </c>
      <c r="C9" s="2" t="s">
        <v>435</v>
      </c>
      <c r="D9" s="12">
        <v>6.09</v>
      </c>
      <c r="E9" s="18">
        <v>44.75</v>
      </c>
      <c r="F9" s="29">
        <v>10953</v>
      </c>
      <c r="G9" s="14">
        <v>11674</v>
      </c>
      <c r="H9" s="2">
        <v>78</v>
      </c>
      <c r="I9" s="2">
        <v>1</v>
      </c>
      <c r="J9" s="2" t="s">
        <v>192</v>
      </c>
      <c r="K9" s="2" t="s">
        <v>192</v>
      </c>
      <c r="L9" s="2">
        <v>1</v>
      </c>
      <c r="M9" s="16">
        <v>41176</v>
      </c>
      <c r="N9" s="2">
        <v>2</v>
      </c>
      <c r="O9" s="2" t="s">
        <v>192</v>
      </c>
      <c r="P9" s="2" t="s">
        <v>192</v>
      </c>
      <c r="Q9" s="2" t="s">
        <v>192</v>
      </c>
      <c r="R9" s="2">
        <f>SUM(N9,P9)</f>
        <v>2</v>
      </c>
      <c r="S9" s="10" t="s">
        <v>298</v>
      </c>
      <c r="T9" s="11" t="s">
        <v>300</v>
      </c>
    </row>
    <row r="10" spans="1:20" x14ac:dyDescent="0.25">
      <c r="A10" s="9" t="s">
        <v>700</v>
      </c>
      <c r="B10" s="9" t="s">
        <v>17</v>
      </c>
      <c r="C10" s="2" t="s">
        <v>435</v>
      </c>
      <c r="D10" s="12">
        <v>6.79</v>
      </c>
      <c r="E10" s="18">
        <v>44.3</v>
      </c>
      <c r="F10" s="29">
        <v>5719</v>
      </c>
      <c r="G10" s="14">
        <v>6431</v>
      </c>
      <c r="H10" s="2">
        <v>40</v>
      </c>
      <c r="I10" s="2">
        <v>1</v>
      </c>
      <c r="J10" s="2" t="s">
        <v>192</v>
      </c>
      <c r="K10" s="2" t="s">
        <v>192</v>
      </c>
      <c r="L10" s="2">
        <v>1</v>
      </c>
      <c r="M10" s="16">
        <v>40262</v>
      </c>
      <c r="N10" s="2">
        <v>3</v>
      </c>
      <c r="O10" s="2" t="s">
        <v>192</v>
      </c>
      <c r="P10" s="2" t="s">
        <v>192</v>
      </c>
      <c r="Q10" s="2" t="s">
        <v>192</v>
      </c>
      <c r="R10" s="2">
        <f>SUM(N10,P10)</f>
        <v>3</v>
      </c>
      <c r="S10" s="10" t="s">
        <v>519</v>
      </c>
      <c r="T10" s="11" t="s">
        <v>520</v>
      </c>
    </row>
    <row r="11" spans="1:20" x14ac:dyDescent="0.25">
      <c r="A11" s="9" t="s">
        <v>753</v>
      </c>
      <c r="B11" s="9" t="s">
        <v>110</v>
      </c>
      <c r="C11" s="2" t="s">
        <v>435</v>
      </c>
      <c r="D11" s="12">
        <v>6.52</v>
      </c>
      <c r="E11" s="18">
        <v>44.2</v>
      </c>
      <c r="F11" s="29">
        <v>5379</v>
      </c>
      <c r="G11" s="14">
        <v>6248</v>
      </c>
      <c r="H11" s="2">
        <v>39</v>
      </c>
      <c r="I11" s="2">
        <v>1</v>
      </c>
      <c r="J11" s="2" t="s">
        <v>192</v>
      </c>
      <c r="K11" s="2" t="s">
        <v>192</v>
      </c>
      <c r="L11" s="2">
        <v>1</v>
      </c>
      <c r="M11" s="16">
        <v>42466</v>
      </c>
      <c r="N11" s="2">
        <v>3</v>
      </c>
      <c r="O11" s="2" t="s">
        <v>537</v>
      </c>
      <c r="P11" s="2" t="s">
        <v>192</v>
      </c>
      <c r="Q11" s="2" t="s">
        <v>192</v>
      </c>
      <c r="R11" s="2">
        <f>SUM(N11,P11)</f>
        <v>3</v>
      </c>
      <c r="S11" s="10" t="s">
        <v>277</v>
      </c>
      <c r="T11" s="11" t="s">
        <v>278</v>
      </c>
    </row>
    <row r="12" spans="1:20" x14ac:dyDescent="0.25">
      <c r="A12" s="9" t="s">
        <v>651</v>
      </c>
      <c r="B12" s="9" t="s">
        <v>74</v>
      </c>
      <c r="C12" s="2" t="s">
        <v>435</v>
      </c>
      <c r="D12" s="12">
        <v>9.35</v>
      </c>
      <c r="E12" s="18">
        <v>40.700000000000003</v>
      </c>
      <c r="F12" s="29">
        <v>7124</v>
      </c>
      <c r="G12" s="14">
        <v>7463</v>
      </c>
      <c r="H12" s="2">
        <v>74</v>
      </c>
      <c r="I12" s="2">
        <v>1</v>
      </c>
      <c r="J12" s="2" t="s">
        <v>192</v>
      </c>
      <c r="K12" s="2">
        <v>6</v>
      </c>
      <c r="L12" s="2">
        <v>7</v>
      </c>
      <c r="M12" s="16">
        <v>42910</v>
      </c>
      <c r="N12" s="2">
        <v>15</v>
      </c>
      <c r="O12" s="2" t="s">
        <v>218</v>
      </c>
      <c r="P12" s="2">
        <v>1</v>
      </c>
      <c r="Q12" s="2" t="s">
        <v>562</v>
      </c>
      <c r="R12" s="2">
        <f>SUM(N12,P12)</f>
        <v>16</v>
      </c>
      <c r="S12" s="10" t="s">
        <v>214</v>
      </c>
      <c r="T12" s="11" t="s">
        <v>215</v>
      </c>
    </row>
    <row r="13" spans="1:20" x14ac:dyDescent="0.25">
      <c r="A13" s="9" t="s">
        <v>649</v>
      </c>
      <c r="B13" s="9" t="s">
        <v>72</v>
      </c>
      <c r="C13" s="2" t="s">
        <v>435</v>
      </c>
      <c r="D13" s="12">
        <v>9.26</v>
      </c>
      <c r="E13" s="18">
        <v>40.51</v>
      </c>
      <c r="F13" s="29">
        <v>6977</v>
      </c>
      <c r="G13" s="14">
        <v>7410</v>
      </c>
      <c r="H13" s="2">
        <v>93</v>
      </c>
      <c r="I13" s="2">
        <v>1</v>
      </c>
      <c r="J13" s="2" t="s">
        <v>192</v>
      </c>
      <c r="K13" s="2">
        <v>8</v>
      </c>
      <c r="L13" s="2">
        <v>9</v>
      </c>
      <c r="M13" s="16">
        <v>42910</v>
      </c>
      <c r="N13" s="2">
        <v>17</v>
      </c>
      <c r="O13" s="2" t="s">
        <v>192</v>
      </c>
      <c r="P13" s="2">
        <v>2</v>
      </c>
      <c r="Q13" s="2" t="s">
        <v>192</v>
      </c>
      <c r="R13" s="2">
        <f>SUM(N13,P13)</f>
        <v>19</v>
      </c>
      <c r="S13" s="10" t="s">
        <v>273</v>
      </c>
      <c r="T13" s="11" t="s">
        <v>274</v>
      </c>
    </row>
    <row r="14" spans="1:20" x14ac:dyDescent="0.25">
      <c r="A14" s="9" t="s">
        <v>770</v>
      </c>
      <c r="B14" s="9" t="s">
        <v>76</v>
      </c>
      <c r="C14" s="2" t="s">
        <v>435</v>
      </c>
      <c r="D14" s="12">
        <v>9.49</v>
      </c>
      <c r="E14" s="18">
        <v>36.840000000000003</v>
      </c>
      <c r="F14" s="29">
        <v>7027</v>
      </c>
      <c r="G14" s="14">
        <v>7420</v>
      </c>
      <c r="H14" s="2">
        <v>69</v>
      </c>
      <c r="I14" s="2">
        <v>1</v>
      </c>
      <c r="J14" s="2" t="s">
        <v>192</v>
      </c>
      <c r="K14" s="2">
        <v>5</v>
      </c>
      <c r="L14" s="2">
        <v>6</v>
      </c>
      <c r="M14" s="16">
        <v>42910</v>
      </c>
      <c r="N14" s="2">
        <v>13</v>
      </c>
      <c r="O14" s="2" t="s">
        <v>192</v>
      </c>
      <c r="P14" s="2" t="s">
        <v>192</v>
      </c>
      <c r="Q14" s="2" t="s">
        <v>192</v>
      </c>
      <c r="R14" s="2">
        <f>SUM(N14,P14)</f>
        <v>13</v>
      </c>
      <c r="S14" s="10" t="s">
        <v>612</v>
      </c>
      <c r="T14" s="11" t="s">
        <v>616</v>
      </c>
    </row>
    <row r="15" spans="1:20" x14ac:dyDescent="0.25">
      <c r="A15" s="9" t="s">
        <v>744</v>
      </c>
      <c r="B15" s="9" t="s">
        <v>124</v>
      </c>
      <c r="C15" s="2" t="s">
        <v>8</v>
      </c>
      <c r="D15" s="12">
        <v>6.42</v>
      </c>
      <c r="E15" s="18">
        <v>41.06</v>
      </c>
      <c r="F15" s="29">
        <v>5147</v>
      </c>
      <c r="G15" s="14">
        <v>5386</v>
      </c>
      <c r="H15" s="2">
        <v>64</v>
      </c>
      <c r="I15" s="2">
        <v>1</v>
      </c>
      <c r="J15" s="2" t="s">
        <v>192</v>
      </c>
      <c r="K15" s="2">
        <v>3</v>
      </c>
      <c r="L15" s="2">
        <v>4</v>
      </c>
      <c r="M15" s="16">
        <v>42130</v>
      </c>
      <c r="N15" s="2">
        <v>8</v>
      </c>
      <c r="O15" s="2" t="s">
        <v>196</v>
      </c>
      <c r="P15" s="2" t="s">
        <v>192</v>
      </c>
      <c r="Q15" s="2" t="s">
        <v>192</v>
      </c>
      <c r="R15" s="2">
        <f>SUM(N15,P15)</f>
        <v>8</v>
      </c>
      <c r="S15" s="10" t="s">
        <v>309</v>
      </c>
      <c r="T15" s="11" t="s">
        <v>548</v>
      </c>
    </row>
    <row r="16" spans="1:20" x14ac:dyDescent="0.25">
      <c r="A16" s="9" t="s">
        <v>778</v>
      </c>
      <c r="B16" s="9" t="s">
        <v>130</v>
      </c>
      <c r="C16" s="2" t="s">
        <v>8</v>
      </c>
      <c r="D16" s="12">
        <v>8.8800000000000008</v>
      </c>
      <c r="E16" s="18">
        <v>41.18</v>
      </c>
      <c r="F16" s="29">
        <v>7082</v>
      </c>
      <c r="G16" s="14">
        <v>7386</v>
      </c>
      <c r="H16" s="2">
        <v>75</v>
      </c>
      <c r="I16" s="2">
        <v>1</v>
      </c>
      <c r="J16" s="2" t="s">
        <v>192</v>
      </c>
      <c r="K16" s="2">
        <v>1</v>
      </c>
      <c r="L16" s="2">
        <v>2</v>
      </c>
      <c r="M16" s="16">
        <v>42910</v>
      </c>
      <c r="N16" s="2">
        <v>21</v>
      </c>
      <c r="O16" s="2" t="s">
        <v>196</v>
      </c>
      <c r="P16" s="2" t="s">
        <v>192</v>
      </c>
      <c r="Q16" s="2" t="s">
        <v>192</v>
      </c>
      <c r="R16" s="2">
        <f>SUM(N16,P16)</f>
        <v>21</v>
      </c>
      <c r="S16" s="10" t="s">
        <v>502</v>
      </c>
      <c r="T16" s="11" t="s">
        <v>503</v>
      </c>
    </row>
    <row r="17" spans="1:21" x14ac:dyDescent="0.25">
      <c r="A17" s="9" t="s">
        <v>781</v>
      </c>
      <c r="B17" s="9" t="s">
        <v>156</v>
      </c>
      <c r="C17" s="2" t="s">
        <v>435</v>
      </c>
      <c r="D17" s="12">
        <v>9.9600000000000009</v>
      </c>
      <c r="E17" s="18">
        <v>41.5</v>
      </c>
      <c r="F17" s="29">
        <v>7574</v>
      </c>
      <c r="G17" s="14">
        <v>8011</v>
      </c>
      <c r="H17" s="2">
        <v>73</v>
      </c>
      <c r="I17" s="2">
        <v>1</v>
      </c>
      <c r="J17" s="2" t="s">
        <v>192</v>
      </c>
      <c r="K17" s="2">
        <v>1</v>
      </c>
      <c r="L17" s="2">
        <v>2</v>
      </c>
      <c r="M17" s="16">
        <v>42910</v>
      </c>
      <c r="N17" s="2">
        <v>22</v>
      </c>
      <c r="O17" s="2" t="s">
        <v>578</v>
      </c>
      <c r="P17" s="2" t="s">
        <v>192</v>
      </c>
      <c r="Q17" s="2" t="s">
        <v>192</v>
      </c>
      <c r="R17" s="2">
        <f>SUM(N17,P17)</f>
        <v>22</v>
      </c>
      <c r="S17" s="10" t="s">
        <v>218</v>
      </c>
      <c r="T17" s="11" t="s">
        <v>219</v>
      </c>
    </row>
    <row r="18" spans="1:21" x14ac:dyDescent="0.25">
      <c r="A18" s="9" t="s">
        <v>780</v>
      </c>
      <c r="B18" s="9" t="s">
        <v>141</v>
      </c>
      <c r="C18" s="2" t="s">
        <v>8</v>
      </c>
      <c r="D18" s="12">
        <v>5.99</v>
      </c>
      <c r="E18" s="18">
        <v>41.5</v>
      </c>
      <c r="F18" s="29">
        <v>4498</v>
      </c>
      <c r="G18" s="14">
        <v>4730</v>
      </c>
      <c r="H18" s="2">
        <v>42</v>
      </c>
      <c r="I18" s="2">
        <v>1</v>
      </c>
      <c r="J18" s="2" t="s">
        <v>192</v>
      </c>
      <c r="K18" s="2" t="s">
        <v>192</v>
      </c>
      <c r="L18" s="2">
        <v>1</v>
      </c>
      <c r="M18" s="16">
        <v>42910</v>
      </c>
      <c r="N18" s="2">
        <v>6</v>
      </c>
      <c r="O18" s="2" t="s">
        <v>192</v>
      </c>
      <c r="P18" s="2" t="s">
        <v>192</v>
      </c>
      <c r="Q18" s="2" t="s">
        <v>192</v>
      </c>
      <c r="R18" s="2">
        <f>SUM(N18,P18)</f>
        <v>6</v>
      </c>
      <c r="S18" s="10" t="s">
        <v>206</v>
      </c>
      <c r="T18" s="11" t="s">
        <v>209</v>
      </c>
    </row>
    <row r="19" spans="1:21" x14ac:dyDescent="0.25">
      <c r="A19" s="22" t="s">
        <v>654</v>
      </c>
      <c r="B19" s="9" t="s">
        <v>145</v>
      </c>
      <c r="C19" s="2" t="s">
        <v>8</v>
      </c>
      <c r="D19" s="12">
        <v>12.05</v>
      </c>
      <c r="E19" s="18">
        <v>39.04</v>
      </c>
      <c r="F19" s="29">
        <v>9858</v>
      </c>
      <c r="G19" s="14">
        <v>10691</v>
      </c>
      <c r="H19" s="2">
        <v>63</v>
      </c>
      <c r="I19" s="2">
        <v>1</v>
      </c>
      <c r="J19" s="2" t="s">
        <v>192</v>
      </c>
      <c r="K19" s="2">
        <v>8</v>
      </c>
      <c r="L19" s="2">
        <v>9</v>
      </c>
      <c r="M19" s="16">
        <v>42910</v>
      </c>
      <c r="N19" s="2">
        <v>21</v>
      </c>
      <c r="O19" s="2" t="s">
        <v>560</v>
      </c>
      <c r="P19" s="2">
        <v>1</v>
      </c>
      <c r="Q19" s="2" t="s">
        <v>192</v>
      </c>
      <c r="R19" s="2">
        <f>SUM(N19,P19)</f>
        <v>22</v>
      </c>
      <c r="S19" s="10" t="s">
        <v>549</v>
      </c>
      <c r="T19" s="11" t="s">
        <v>550</v>
      </c>
    </row>
    <row r="20" spans="1:21" x14ac:dyDescent="0.25">
      <c r="A20" s="9" t="s">
        <v>656</v>
      </c>
      <c r="B20" s="9" t="s">
        <v>155</v>
      </c>
      <c r="C20" s="2" t="s">
        <v>8</v>
      </c>
      <c r="D20" s="12">
        <v>7.59</v>
      </c>
      <c r="E20" s="18">
        <v>39.65</v>
      </c>
      <c r="F20" s="29">
        <v>6434</v>
      </c>
      <c r="G20" s="14">
        <v>6502</v>
      </c>
      <c r="H20" s="2">
        <v>59</v>
      </c>
      <c r="I20" s="2">
        <v>1</v>
      </c>
      <c r="J20" s="2" t="s">
        <v>192</v>
      </c>
      <c r="K20" s="2">
        <v>5</v>
      </c>
      <c r="L20" s="2">
        <v>6</v>
      </c>
      <c r="M20" s="16">
        <v>42910</v>
      </c>
      <c r="N20" s="2">
        <v>9</v>
      </c>
      <c r="O20" s="2" t="s">
        <v>192</v>
      </c>
      <c r="P20" s="2">
        <v>1</v>
      </c>
      <c r="Q20" s="2" t="s">
        <v>192</v>
      </c>
      <c r="R20" s="2">
        <f>SUM(N20,P20)</f>
        <v>10</v>
      </c>
      <c r="S20" s="10" t="s">
        <v>196</v>
      </c>
      <c r="T20" s="11" t="s">
        <v>195</v>
      </c>
    </row>
    <row r="21" spans="1:21" x14ac:dyDescent="0.25">
      <c r="A21" s="31" t="s">
        <v>812</v>
      </c>
      <c r="B21" s="9" t="s">
        <v>165</v>
      </c>
      <c r="C21" s="2" t="s">
        <v>435</v>
      </c>
      <c r="D21" s="12">
        <v>12.04</v>
      </c>
      <c r="E21" s="18">
        <v>39.049999999999997</v>
      </c>
      <c r="F21" s="29">
        <v>9851</v>
      </c>
      <c r="G21" s="14">
        <v>10671</v>
      </c>
      <c r="H21" s="2">
        <v>63</v>
      </c>
      <c r="I21" s="2">
        <v>1</v>
      </c>
      <c r="J21" s="2" t="s">
        <v>192</v>
      </c>
      <c r="K21" s="2">
        <v>7</v>
      </c>
      <c r="L21" s="2">
        <v>8</v>
      </c>
      <c r="M21" s="16">
        <v>42910</v>
      </c>
      <c r="N21" s="2">
        <v>21</v>
      </c>
      <c r="O21" s="2" t="s">
        <v>560</v>
      </c>
      <c r="P21" s="2">
        <v>1</v>
      </c>
      <c r="Q21" s="2" t="s">
        <v>192</v>
      </c>
      <c r="R21" s="2">
        <f>SUM(N21,P21)</f>
        <v>22</v>
      </c>
      <c r="S21" s="10" t="s">
        <v>927</v>
      </c>
      <c r="T21" s="11" t="s">
        <v>926</v>
      </c>
    </row>
    <row r="22" spans="1:21" x14ac:dyDescent="0.2">
      <c r="A22" s="9" t="s">
        <v>638</v>
      </c>
      <c r="B22" s="9" t="s">
        <v>37</v>
      </c>
      <c r="C22" s="2" t="s">
        <v>8</v>
      </c>
      <c r="D22" s="12">
        <v>6.96</v>
      </c>
      <c r="E22" s="18">
        <v>39.799999999999997</v>
      </c>
      <c r="F22" s="29">
        <v>5437</v>
      </c>
      <c r="G22" s="14">
        <v>5723</v>
      </c>
      <c r="H22" s="2">
        <v>43</v>
      </c>
      <c r="I22" s="2">
        <v>1</v>
      </c>
      <c r="J22" s="2" t="s">
        <v>192</v>
      </c>
      <c r="K22" s="2">
        <v>3</v>
      </c>
      <c r="L22" s="2">
        <v>4</v>
      </c>
      <c r="M22" s="16">
        <v>41249</v>
      </c>
      <c r="N22" s="2">
        <v>11</v>
      </c>
      <c r="O22" s="2" t="s">
        <v>196</v>
      </c>
      <c r="P22" s="2">
        <v>1</v>
      </c>
      <c r="Q22" s="2" t="s">
        <v>192</v>
      </c>
      <c r="R22" s="2">
        <f>SUM(N22,P22)</f>
        <v>12</v>
      </c>
      <c r="S22" s="10" t="s">
        <v>303</v>
      </c>
      <c r="T22" s="11" t="s">
        <v>304</v>
      </c>
      <c r="U22" s="33"/>
    </row>
    <row r="23" spans="1:21" x14ac:dyDescent="0.25">
      <c r="A23" s="9" t="s">
        <v>709</v>
      </c>
      <c r="B23" s="9" t="s">
        <v>101</v>
      </c>
      <c r="C23" s="2" t="s">
        <v>8</v>
      </c>
      <c r="D23" s="12">
        <v>7.02</v>
      </c>
      <c r="E23" s="18">
        <v>42.2</v>
      </c>
      <c r="F23" s="29">
        <v>5778</v>
      </c>
      <c r="G23" s="14">
        <v>6078</v>
      </c>
      <c r="H23" s="2">
        <v>77</v>
      </c>
      <c r="I23" s="2">
        <v>1</v>
      </c>
      <c r="J23" s="2" t="s">
        <v>192</v>
      </c>
      <c r="K23" s="2" t="s">
        <v>192</v>
      </c>
      <c r="L23" s="2">
        <v>1</v>
      </c>
      <c r="M23" s="16">
        <v>41247</v>
      </c>
      <c r="N23" s="2">
        <v>11</v>
      </c>
      <c r="O23" s="2" t="s">
        <v>218</v>
      </c>
      <c r="P23" s="2" t="s">
        <v>192</v>
      </c>
      <c r="Q23" s="2" t="s">
        <v>192</v>
      </c>
      <c r="R23" s="2">
        <f>SUM(N23,P23)</f>
        <v>11</v>
      </c>
      <c r="S23" s="10" t="s">
        <v>208</v>
      </c>
      <c r="T23" s="11" t="s">
        <v>211</v>
      </c>
    </row>
    <row r="24" spans="1:21" x14ac:dyDescent="0.25">
      <c r="A24" s="9" t="s">
        <v>699</v>
      </c>
      <c r="B24" s="9" t="s">
        <v>57</v>
      </c>
      <c r="C24" s="2" t="s">
        <v>8</v>
      </c>
      <c r="D24" s="12">
        <v>1.44</v>
      </c>
      <c r="E24" s="18">
        <v>31.1</v>
      </c>
      <c r="F24" s="29">
        <v>1141</v>
      </c>
      <c r="G24" s="14">
        <v>1214</v>
      </c>
      <c r="H24" s="2">
        <v>37</v>
      </c>
      <c r="I24" s="2">
        <v>1</v>
      </c>
      <c r="J24" s="2" t="s">
        <v>192</v>
      </c>
      <c r="K24" s="2" t="s">
        <v>192</v>
      </c>
      <c r="L24" s="2">
        <v>1</v>
      </c>
      <c r="M24" s="16">
        <v>40206</v>
      </c>
      <c r="N24" s="2">
        <v>3</v>
      </c>
      <c r="O24" s="2" t="s">
        <v>192</v>
      </c>
      <c r="P24" s="2" t="s">
        <v>192</v>
      </c>
      <c r="Q24" s="2" t="s">
        <v>192</v>
      </c>
      <c r="R24" s="2">
        <f>SUM(N24,P24)</f>
        <v>3</v>
      </c>
      <c r="S24" s="10" t="s">
        <v>558</v>
      </c>
      <c r="T24" s="11" t="s">
        <v>559</v>
      </c>
    </row>
    <row r="25" spans="1:21" x14ac:dyDescent="0.25">
      <c r="A25" s="9" t="s">
        <v>63</v>
      </c>
      <c r="B25" s="9" t="s">
        <v>64</v>
      </c>
      <c r="C25" s="2" t="s">
        <v>8</v>
      </c>
      <c r="D25" s="12">
        <v>1.87</v>
      </c>
      <c r="E25" s="18">
        <v>32.9</v>
      </c>
      <c r="F25" s="29">
        <v>1772</v>
      </c>
      <c r="G25" s="14">
        <v>1838</v>
      </c>
      <c r="H25" s="2">
        <v>41</v>
      </c>
      <c r="I25" s="2">
        <v>1</v>
      </c>
      <c r="J25" s="2" t="s">
        <v>192</v>
      </c>
      <c r="K25" s="2" t="s">
        <v>192</v>
      </c>
      <c r="L25" s="2">
        <v>1</v>
      </c>
      <c r="M25" s="16">
        <v>42656</v>
      </c>
      <c r="N25" s="2">
        <v>1</v>
      </c>
      <c r="O25" s="2" t="s">
        <v>192</v>
      </c>
      <c r="P25" s="2" t="s">
        <v>192</v>
      </c>
      <c r="Q25" s="2" t="s">
        <v>192</v>
      </c>
      <c r="R25" s="2">
        <f>SUM(N25,P25)</f>
        <v>1</v>
      </c>
      <c r="S25" s="10" t="s">
        <v>299</v>
      </c>
      <c r="T25" s="11" t="s">
        <v>439</v>
      </c>
    </row>
    <row r="26" spans="1:21" x14ac:dyDescent="0.25">
      <c r="A26" s="9" t="s">
        <v>717</v>
      </c>
      <c r="B26" s="9" t="s">
        <v>52</v>
      </c>
      <c r="C26" s="2" t="s">
        <v>435</v>
      </c>
      <c r="D26" s="12">
        <v>6.76</v>
      </c>
      <c r="E26" s="18">
        <v>45.65</v>
      </c>
      <c r="F26" s="29">
        <v>6063</v>
      </c>
      <c r="G26" s="14">
        <v>6384</v>
      </c>
      <c r="H26" s="2">
        <v>56</v>
      </c>
      <c r="I26" s="2">
        <v>1</v>
      </c>
      <c r="J26" s="2" t="s">
        <v>192</v>
      </c>
      <c r="K26" s="2">
        <v>2</v>
      </c>
      <c r="L26" s="2">
        <v>3</v>
      </c>
      <c r="M26" s="16">
        <v>41248</v>
      </c>
      <c r="N26" s="2">
        <v>16</v>
      </c>
      <c r="O26" s="2" t="s">
        <v>192</v>
      </c>
      <c r="P26" s="2" t="s">
        <v>192</v>
      </c>
      <c r="Q26" s="2" t="s">
        <v>192</v>
      </c>
      <c r="R26" s="2">
        <f>SUM(N26,P26)</f>
        <v>16</v>
      </c>
      <c r="S26" s="10" t="s">
        <v>207</v>
      </c>
      <c r="T26" s="11" t="s">
        <v>210</v>
      </c>
    </row>
    <row r="27" spans="1:21" x14ac:dyDescent="0.25">
      <c r="A27" s="9" t="s">
        <v>774</v>
      </c>
      <c r="B27" s="9" t="s">
        <v>82</v>
      </c>
      <c r="C27" s="2" t="s">
        <v>8</v>
      </c>
      <c r="D27" s="12">
        <v>5</v>
      </c>
      <c r="E27" s="18">
        <v>36.6</v>
      </c>
      <c r="F27" s="29">
        <v>4198</v>
      </c>
      <c r="G27" s="14">
        <v>4367</v>
      </c>
      <c r="H27" s="2">
        <v>43</v>
      </c>
      <c r="I27" s="2">
        <v>1</v>
      </c>
      <c r="J27" s="2" t="s">
        <v>192</v>
      </c>
      <c r="K27" s="2">
        <v>6</v>
      </c>
      <c r="L27" s="2">
        <v>7</v>
      </c>
      <c r="M27" s="16">
        <v>42910</v>
      </c>
      <c r="N27" s="2">
        <v>10</v>
      </c>
      <c r="O27" s="2" t="s">
        <v>192</v>
      </c>
      <c r="P27" s="2" t="s">
        <v>192</v>
      </c>
      <c r="Q27" s="2" t="s">
        <v>192</v>
      </c>
      <c r="R27" s="2">
        <f>SUM(N27,P27)</f>
        <v>10</v>
      </c>
      <c r="S27" s="10" t="s">
        <v>311</v>
      </c>
      <c r="T27" s="11" t="s">
        <v>312</v>
      </c>
    </row>
    <row r="28" spans="1:21" x14ac:dyDescent="0.25">
      <c r="A28" s="9" t="s">
        <v>634</v>
      </c>
      <c r="B28" s="9" t="s">
        <v>21</v>
      </c>
      <c r="C28" s="2" t="s">
        <v>8</v>
      </c>
      <c r="D28" s="12">
        <v>6.69</v>
      </c>
      <c r="E28" s="18">
        <v>44.44</v>
      </c>
      <c r="F28" s="29">
        <v>5716</v>
      </c>
      <c r="G28" s="14">
        <v>5950</v>
      </c>
      <c r="H28" s="2">
        <v>46</v>
      </c>
      <c r="I28" s="2">
        <v>1</v>
      </c>
      <c r="J28" s="2" t="s">
        <v>192</v>
      </c>
      <c r="K28" s="2">
        <v>2</v>
      </c>
      <c r="L28" s="2">
        <v>3</v>
      </c>
      <c r="M28" s="16">
        <v>41248</v>
      </c>
      <c r="N28" s="2">
        <v>12</v>
      </c>
      <c r="O28" s="2" t="s">
        <v>192</v>
      </c>
      <c r="P28" s="2" t="s">
        <v>192</v>
      </c>
      <c r="Q28" s="2" t="s">
        <v>192</v>
      </c>
      <c r="R28" s="2">
        <f>SUM(N28,P28)</f>
        <v>12</v>
      </c>
      <c r="S28" s="10" t="s">
        <v>588</v>
      </c>
      <c r="T28" s="11" t="s">
        <v>589</v>
      </c>
    </row>
    <row r="29" spans="1:21" x14ac:dyDescent="0.25">
      <c r="A29" s="9" t="s">
        <v>636</v>
      </c>
      <c r="B29" s="9" t="s">
        <v>31</v>
      </c>
      <c r="C29" s="2" t="s">
        <v>8</v>
      </c>
      <c r="D29" s="12">
        <v>5.62</v>
      </c>
      <c r="E29" s="18">
        <v>40.200000000000003</v>
      </c>
      <c r="F29" s="29">
        <v>4760</v>
      </c>
      <c r="G29" s="14">
        <v>5031</v>
      </c>
      <c r="H29" s="2">
        <v>42</v>
      </c>
      <c r="I29" s="2">
        <v>1</v>
      </c>
      <c r="J29" s="2" t="s">
        <v>192</v>
      </c>
      <c r="K29" s="2">
        <v>8</v>
      </c>
      <c r="L29" s="2">
        <v>9</v>
      </c>
      <c r="M29" s="16">
        <v>41249</v>
      </c>
      <c r="N29" s="2">
        <v>9</v>
      </c>
      <c r="O29" s="2" t="s">
        <v>192</v>
      </c>
      <c r="P29" s="2">
        <v>1</v>
      </c>
      <c r="Q29" s="2" t="s">
        <v>192</v>
      </c>
      <c r="R29" s="2">
        <f>SUM(N29,P29)</f>
        <v>10</v>
      </c>
      <c r="S29" s="10" t="s">
        <v>614</v>
      </c>
      <c r="T29" s="11" t="s">
        <v>615</v>
      </c>
    </row>
    <row r="30" spans="1:21" x14ac:dyDescent="0.25">
      <c r="A30" s="9" t="s">
        <v>695</v>
      </c>
      <c r="B30" s="9" t="s">
        <v>45</v>
      </c>
      <c r="C30" s="2" t="s">
        <v>8</v>
      </c>
      <c r="D30" s="12">
        <v>5.46</v>
      </c>
      <c r="E30" s="18">
        <v>37.97</v>
      </c>
      <c r="F30" s="29">
        <v>4890</v>
      </c>
      <c r="G30" s="14">
        <v>5042</v>
      </c>
      <c r="H30" s="2">
        <v>43</v>
      </c>
      <c r="I30" s="2">
        <v>2</v>
      </c>
      <c r="J30" s="2" t="s">
        <v>192</v>
      </c>
      <c r="K30" s="2">
        <v>4</v>
      </c>
      <c r="L30" s="2">
        <v>6</v>
      </c>
      <c r="M30" s="16">
        <v>39539</v>
      </c>
      <c r="N30" s="2">
        <v>7</v>
      </c>
      <c r="O30" s="2" t="s">
        <v>192</v>
      </c>
      <c r="P30" s="2" t="s">
        <v>192</v>
      </c>
      <c r="Q30" s="2" t="s">
        <v>192</v>
      </c>
      <c r="R30" s="2">
        <f>SUM(N30,P30)</f>
        <v>7</v>
      </c>
      <c r="S30" s="10" t="s">
        <v>320</v>
      </c>
      <c r="T30" s="11" t="s">
        <v>321</v>
      </c>
    </row>
    <row r="31" spans="1:21" x14ac:dyDescent="0.25">
      <c r="A31" s="9" t="s">
        <v>725</v>
      </c>
      <c r="B31" s="9" t="s">
        <v>54</v>
      </c>
      <c r="C31" s="2" t="s">
        <v>8</v>
      </c>
      <c r="D31" s="12">
        <v>4.18</v>
      </c>
      <c r="E31" s="18">
        <v>34.97</v>
      </c>
      <c r="F31" s="29">
        <v>3402</v>
      </c>
      <c r="G31" s="14">
        <v>3580</v>
      </c>
      <c r="H31" s="2">
        <v>43</v>
      </c>
      <c r="I31" s="2">
        <v>1</v>
      </c>
      <c r="J31" s="2" t="s">
        <v>192</v>
      </c>
      <c r="K31" s="2">
        <v>1</v>
      </c>
      <c r="L31" s="2">
        <v>2</v>
      </c>
      <c r="M31" s="16">
        <v>41250</v>
      </c>
      <c r="N31" s="2">
        <v>8</v>
      </c>
      <c r="O31" s="2" t="s">
        <v>192</v>
      </c>
      <c r="P31" s="2" t="s">
        <v>192</v>
      </c>
      <c r="Q31" s="2" t="s">
        <v>192</v>
      </c>
      <c r="R31" s="2">
        <f>SUM(N31,P31)</f>
        <v>8</v>
      </c>
      <c r="S31" s="10" t="s">
        <v>456</v>
      </c>
      <c r="T31" s="11" t="s">
        <v>457</v>
      </c>
    </row>
    <row r="32" spans="1:21" x14ac:dyDescent="0.25">
      <c r="A32" s="9" t="s">
        <v>733</v>
      </c>
      <c r="B32" s="9" t="s">
        <v>59</v>
      </c>
      <c r="C32" s="2" t="s">
        <v>8</v>
      </c>
      <c r="D32" s="12">
        <v>2.79</v>
      </c>
      <c r="E32" s="18">
        <v>33.4</v>
      </c>
      <c r="F32" s="29">
        <v>1600</v>
      </c>
      <c r="G32" s="14">
        <v>1819</v>
      </c>
      <c r="H32" s="2">
        <v>39</v>
      </c>
      <c r="I32" s="2">
        <v>1</v>
      </c>
      <c r="J32" s="2" t="s">
        <v>192</v>
      </c>
      <c r="K32" s="2" t="s">
        <v>192</v>
      </c>
      <c r="L32" s="2">
        <v>1</v>
      </c>
      <c r="M32" s="16">
        <v>41843</v>
      </c>
      <c r="N32" s="2">
        <v>3</v>
      </c>
      <c r="O32" s="2" t="s">
        <v>192</v>
      </c>
      <c r="P32" s="2" t="s">
        <v>192</v>
      </c>
      <c r="Q32" s="2" t="s">
        <v>192</v>
      </c>
      <c r="R32" s="2">
        <f>SUM(N32,P32)</f>
        <v>3</v>
      </c>
      <c r="S32" s="10" t="s">
        <v>340</v>
      </c>
      <c r="T32" s="11" t="s">
        <v>341</v>
      </c>
    </row>
    <row r="33" spans="1:21" x14ac:dyDescent="0.25">
      <c r="A33" s="9" t="s">
        <v>783</v>
      </c>
      <c r="B33" s="9" t="s">
        <v>87</v>
      </c>
      <c r="C33" s="2" t="s">
        <v>8</v>
      </c>
      <c r="D33" s="12">
        <v>3.02</v>
      </c>
      <c r="E33" s="18">
        <v>33.9</v>
      </c>
      <c r="F33" s="29">
        <v>1776</v>
      </c>
      <c r="G33" s="14">
        <v>1956</v>
      </c>
      <c r="H33" s="2">
        <v>39</v>
      </c>
      <c r="I33" s="2">
        <v>1</v>
      </c>
      <c r="J33" s="2" t="s">
        <v>192</v>
      </c>
      <c r="K33" s="2" t="s">
        <v>192</v>
      </c>
      <c r="L33" s="2">
        <v>1</v>
      </c>
      <c r="M33" s="16">
        <v>43025</v>
      </c>
      <c r="N33" s="2">
        <v>3</v>
      </c>
      <c r="O33" s="2" t="s">
        <v>192</v>
      </c>
      <c r="P33" s="2" t="s">
        <v>192</v>
      </c>
      <c r="Q33" s="2" t="s">
        <v>192</v>
      </c>
      <c r="R33" s="2">
        <f>SUM(N33,P33)</f>
        <v>3</v>
      </c>
      <c r="S33" s="10" t="s">
        <v>522</v>
      </c>
      <c r="T33" s="11" t="s">
        <v>341</v>
      </c>
    </row>
    <row r="34" spans="1:21" x14ac:dyDescent="0.25">
      <c r="A34" s="9" t="s">
        <v>785</v>
      </c>
      <c r="B34" s="9" t="s">
        <v>100</v>
      </c>
      <c r="C34" s="2" t="s">
        <v>8</v>
      </c>
      <c r="D34" s="12">
        <v>3.3</v>
      </c>
      <c r="E34" s="18">
        <v>37.659999999999997</v>
      </c>
      <c r="F34" s="29">
        <v>2947</v>
      </c>
      <c r="G34" s="14">
        <v>3099</v>
      </c>
      <c r="H34" s="2">
        <v>43</v>
      </c>
      <c r="I34" s="2">
        <v>1</v>
      </c>
      <c r="J34" s="2" t="s">
        <v>192</v>
      </c>
      <c r="K34" s="2">
        <v>2</v>
      </c>
      <c r="L34" s="2">
        <v>3</v>
      </c>
      <c r="M34" s="16">
        <v>43076</v>
      </c>
      <c r="N34" s="2">
        <v>4</v>
      </c>
      <c r="O34" s="2" t="s">
        <v>192</v>
      </c>
      <c r="P34" s="2" t="s">
        <v>192</v>
      </c>
      <c r="Q34" s="2" t="s">
        <v>192</v>
      </c>
      <c r="R34" s="2">
        <f>SUM(N34,P34)</f>
        <v>4</v>
      </c>
      <c r="S34" s="10" t="s">
        <v>586</v>
      </c>
      <c r="T34" s="11" t="s">
        <v>585</v>
      </c>
    </row>
    <row r="35" spans="1:21" x14ac:dyDescent="0.25">
      <c r="A35" s="9" t="s">
        <v>722</v>
      </c>
      <c r="B35" s="9" t="s">
        <v>22</v>
      </c>
      <c r="C35" s="2" t="s">
        <v>8</v>
      </c>
      <c r="D35" s="12">
        <v>3.16</v>
      </c>
      <c r="E35" s="18">
        <v>38.700000000000003</v>
      </c>
      <c r="F35" s="29">
        <v>2837</v>
      </c>
      <c r="G35" s="14">
        <v>2941</v>
      </c>
      <c r="H35" s="2">
        <v>43</v>
      </c>
      <c r="I35" s="2">
        <v>1</v>
      </c>
      <c r="J35" s="2" t="s">
        <v>192</v>
      </c>
      <c r="K35" s="2" t="s">
        <v>192</v>
      </c>
      <c r="L35" s="2">
        <v>1</v>
      </c>
      <c r="M35" s="16">
        <v>41250</v>
      </c>
      <c r="N35" s="32">
        <v>3</v>
      </c>
      <c r="O35" s="2" t="s">
        <v>192</v>
      </c>
      <c r="P35" s="2" t="s">
        <v>192</v>
      </c>
      <c r="Q35" s="2" t="s">
        <v>192</v>
      </c>
      <c r="R35" s="2">
        <f>SUM(N35,P35)</f>
        <v>3</v>
      </c>
      <c r="S35" s="10" t="s">
        <v>239</v>
      </c>
      <c r="T35" s="11" t="s">
        <v>240</v>
      </c>
    </row>
    <row r="36" spans="1:21" x14ac:dyDescent="0.25">
      <c r="A36" s="9" t="s">
        <v>707</v>
      </c>
      <c r="B36" s="9" t="s">
        <v>27</v>
      </c>
      <c r="C36" s="2" t="s">
        <v>8</v>
      </c>
      <c r="D36" s="12">
        <v>3.34</v>
      </c>
      <c r="E36" s="18">
        <v>68.7</v>
      </c>
      <c r="F36" s="29">
        <v>3255</v>
      </c>
      <c r="G36" s="14">
        <v>3404</v>
      </c>
      <c r="H36" s="2">
        <v>45</v>
      </c>
      <c r="I36" s="2">
        <v>1</v>
      </c>
      <c r="J36" s="2" t="s">
        <v>192</v>
      </c>
      <c r="K36" s="2" t="s">
        <v>192</v>
      </c>
      <c r="L36" s="2">
        <v>1</v>
      </c>
      <c r="M36" s="16">
        <v>41247</v>
      </c>
      <c r="N36" s="2">
        <v>7</v>
      </c>
      <c r="O36" s="2" t="s">
        <v>192</v>
      </c>
      <c r="P36" s="2" t="s">
        <v>192</v>
      </c>
      <c r="Q36" s="2" t="s">
        <v>192</v>
      </c>
      <c r="R36" s="2">
        <f>SUM(N36,P36)</f>
        <v>7</v>
      </c>
      <c r="S36" s="10" t="s">
        <v>313</v>
      </c>
      <c r="T36" s="11" t="s">
        <v>314</v>
      </c>
    </row>
    <row r="37" spans="1:21" x14ac:dyDescent="0.25">
      <c r="A37" s="9" t="s">
        <v>754</v>
      </c>
      <c r="B37" s="9" t="s">
        <v>46</v>
      </c>
      <c r="C37" s="2" t="s">
        <v>8</v>
      </c>
      <c r="D37" s="12">
        <v>3.02</v>
      </c>
      <c r="E37" s="18">
        <v>68.599999999999994</v>
      </c>
      <c r="F37" s="29">
        <v>2873</v>
      </c>
      <c r="G37" s="14">
        <v>3049</v>
      </c>
      <c r="H37" s="2">
        <v>46</v>
      </c>
      <c r="I37" s="2">
        <v>1</v>
      </c>
      <c r="J37" s="2" t="s">
        <v>192</v>
      </c>
      <c r="K37" s="2" t="s">
        <v>192</v>
      </c>
      <c r="L37" s="2">
        <v>1</v>
      </c>
      <c r="M37" s="16">
        <v>42523</v>
      </c>
      <c r="N37" s="2">
        <v>8</v>
      </c>
      <c r="O37" s="2" t="s">
        <v>192</v>
      </c>
      <c r="P37" s="2" t="s">
        <v>192</v>
      </c>
      <c r="Q37" s="2" t="s">
        <v>192</v>
      </c>
      <c r="R37" s="2">
        <f>SUM(N37,P37)</f>
        <v>8</v>
      </c>
      <c r="S37" s="10" t="s">
        <v>537</v>
      </c>
      <c r="T37" s="11" t="s">
        <v>538</v>
      </c>
    </row>
    <row r="38" spans="1:21" x14ac:dyDescent="0.25">
      <c r="A38" s="9" t="s">
        <v>128</v>
      </c>
      <c r="B38" s="9" t="s">
        <v>129</v>
      </c>
      <c r="C38" s="2" t="s">
        <v>8</v>
      </c>
      <c r="D38" s="12">
        <v>5.79</v>
      </c>
      <c r="E38" s="18">
        <v>50.66</v>
      </c>
      <c r="F38" s="29">
        <v>5194</v>
      </c>
      <c r="G38" s="14">
        <v>5402</v>
      </c>
      <c r="H38" s="2">
        <v>48</v>
      </c>
      <c r="I38" s="2">
        <v>1</v>
      </c>
      <c r="J38" s="2" t="s">
        <v>192</v>
      </c>
      <c r="K38" s="2">
        <v>3</v>
      </c>
      <c r="L38" s="2">
        <v>4</v>
      </c>
      <c r="M38" s="16">
        <v>39822</v>
      </c>
      <c r="N38" s="2">
        <v>13</v>
      </c>
      <c r="O38" s="2" t="s">
        <v>192</v>
      </c>
      <c r="P38" s="2">
        <v>1</v>
      </c>
      <c r="Q38" s="2" t="s">
        <v>192</v>
      </c>
      <c r="R38" s="2">
        <f>SUM(N38,P38)</f>
        <v>14</v>
      </c>
      <c r="S38" s="10" t="s">
        <v>241</v>
      </c>
      <c r="T38" s="11" t="s">
        <v>242</v>
      </c>
    </row>
    <row r="39" spans="1:21" x14ac:dyDescent="0.25">
      <c r="A39" s="9" t="s">
        <v>647</v>
      </c>
      <c r="B39" s="9" t="s">
        <v>55</v>
      </c>
      <c r="C39" s="2" t="s">
        <v>435</v>
      </c>
      <c r="D39" s="12">
        <v>7.7</v>
      </c>
      <c r="E39" s="18">
        <v>42</v>
      </c>
      <c r="F39" s="29">
        <v>6534</v>
      </c>
      <c r="G39" s="14">
        <v>6620</v>
      </c>
      <c r="H39" s="2">
        <v>75</v>
      </c>
      <c r="I39" s="2">
        <v>1</v>
      </c>
      <c r="J39" s="2" t="s">
        <v>192</v>
      </c>
      <c r="K39" s="2">
        <v>4</v>
      </c>
      <c r="L39" s="2">
        <v>5</v>
      </c>
      <c r="M39" s="16">
        <v>42910</v>
      </c>
      <c r="N39" s="2">
        <v>19</v>
      </c>
      <c r="O39" s="32" t="s">
        <v>560</v>
      </c>
      <c r="P39" s="2">
        <v>4</v>
      </c>
      <c r="Q39" s="2" t="s">
        <v>624</v>
      </c>
      <c r="R39" s="2">
        <f>SUM(N39,P39)</f>
        <v>23</v>
      </c>
      <c r="S39" s="34" t="s">
        <v>511</v>
      </c>
      <c r="T39" s="35" t="s">
        <v>342</v>
      </c>
    </row>
    <row r="40" spans="1:21" x14ac:dyDescent="0.25">
      <c r="A40" s="9" t="s">
        <v>635</v>
      </c>
      <c r="B40" s="9" t="s">
        <v>30</v>
      </c>
      <c r="C40" s="2" t="s">
        <v>435</v>
      </c>
      <c r="D40" s="12">
        <v>7.61</v>
      </c>
      <c r="E40" s="18">
        <v>42.2</v>
      </c>
      <c r="F40" s="29">
        <v>6116</v>
      </c>
      <c r="G40" s="14">
        <v>6528</v>
      </c>
      <c r="H40" s="2">
        <v>74</v>
      </c>
      <c r="I40" s="2">
        <v>1</v>
      </c>
      <c r="J40" s="2" t="s">
        <v>192</v>
      </c>
      <c r="K40" s="2">
        <v>3</v>
      </c>
      <c r="L40" s="2">
        <v>4</v>
      </c>
      <c r="M40" s="16">
        <v>41249</v>
      </c>
      <c r="N40" s="2">
        <v>23</v>
      </c>
      <c r="O40" s="2" t="s">
        <v>925</v>
      </c>
      <c r="P40" s="2">
        <v>1</v>
      </c>
      <c r="Q40" s="2" t="s">
        <v>192</v>
      </c>
      <c r="R40" s="2">
        <f>SUM(N40,P40)</f>
        <v>24</v>
      </c>
    </row>
    <row r="41" spans="1:21" x14ac:dyDescent="0.25">
      <c r="A41" s="9" t="s">
        <v>723</v>
      </c>
      <c r="B41" s="9" t="s">
        <v>28</v>
      </c>
      <c r="C41" s="2" t="s">
        <v>8</v>
      </c>
      <c r="D41" s="12">
        <v>3.78</v>
      </c>
      <c r="E41" s="18">
        <v>42.4</v>
      </c>
      <c r="F41" s="29">
        <v>3444</v>
      </c>
      <c r="G41" s="14">
        <v>3701</v>
      </c>
      <c r="H41" s="2">
        <v>42</v>
      </c>
      <c r="I41" s="2">
        <v>1</v>
      </c>
      <c r="J41" s="2" t="s">
        <v>192</v>
      </c>
      <c r="K41" s="2" t="s">
        <v>192</v>
      </c>
      <c r="L41" s="2">
        <v>1</v>
      </c>
      <c r="M41" s="16">
        <v>41250</v>
      </c>
      <c r="N41" s="2">
        <v>2</v>
      </c>
      <c r="O41" s="2" t="s">
        <v>192</v>
      </c>
      <c r="P41" s="2" t="s">
        <v>192</v>
      </c>
      <c r="Q41" s="2" t="s">
        <v>192</v>
      </c>
      <c r="R41" s="2">
        <f>SUM(N41,P41)</f>
        <v>2</v>
      </c>
    </row>
    <row r="42" spans="1:21" x14ac:dyDescent="0.25">
      <c r="A42" s="9" t="s">
        <v>771</v>
      </c>
      <c r="B42" s="9" t="s">
        <v>77</v>
      </c>
      <c r="C42" s="2" t="s">
        <v>435</v>
      </c>
      <c r="D42" s="12">
        <v>5.17</v>
      </c>
      <c r="E42" s="18">
        <v>38.200000000000003</v>
      </c>
      <c r="F42" s="29">
        <v>4310</v>
      </c>
      <c r="G42" s="14">
        <v>4785</v>
      </c>
      <c r="H42" s="2">
        <v>43</v>
      </c>
      <c r="I42" s="2">
        <v>1</v>
      </c>
      <c r="J42" s="2" t="s">
        <v>192</v>
      </c>
      <c r="K42" s="2" t="s">
        <v>192</v>
      </c>
      <c r="L42" s="2">
        <v>1</v>
      </c>
      <c r="M42" s="16">
        <v>42910</v>
      </c>
      <c r="N42" s="2">
        <v>8</v>
      </c>
      <c r="O42" s="2" t="s">
        <v>273</v>
      </c>
      <c r="P42" s="2" t="s">
        <v>192</v>
      </c>
      <c r="Q42" s="2" t="s">
        <v>192</v>
      </c>
      <c r="R42" s="2">
        <f>SUM(N42,P42)</f>
        <v>8</v>
      </c>
      <c r="S42" s="2" t="s">
        <v>921</v>
      </c>
      <c r="T42" s="44" t="s">
        <v>922</v>
      </c>
      <c r="U42" s="44"/>
    </row>
    <row r="43" spans="1:21" x14ac:dyDescent="0.25">
      <c r="A43" s="9" t="s">
        <v>800</v>
      </c>
      <c r="B43" s="9" t="s">
        <v>428</v>
      </c>
      <c r="C43" s="2" t="s">
        <v>8</v>
      </c>
      <c r="D43" s="12">
        <v>5.64</v>
      </c>
      <c r="E43" s="18">
        <v>38.19</v>
      </c>
      <c r="F43" s="29">
        <v>4625</v>
      </c>
      <c r="G43" s="14">
        <v>5278</v>
      </c>
      <c r="H43" s="2">
        <v>44</v>
      </c>
      <c r="I43" s="2">
        <v>1</v>
      </c>
      <c r="J43" s="2" t="s">
        <v>192</v>
      </c>
      <c r="K43" s="2">
        <v>3</v>
      </c>
      <c r="L43" s="2">
        <v>4</v>
      </c>
      <c r="M43" s="16">
        <v>43705</v>
      </c>
      <c r="N43" s="13">
        <v>14</v>
      </c>
      <c r="O43" s="2" t="s">
        <v>601</v>
      </c>
      <c r="P43" s="2" t="s">
        <v>192</v>
      </c>
      <c r="Q43" s="2" t="s">
        <v>192</v>
      </c>
      <c r="R43" s="2">
        <f>SUM(N43,P43)</f>
        <v>14</v>
      </c>
    </row>
    <row r="44" spans="1:21" x14ac:dyDescent="0.25">
      <c r="A44" s="9" t="s">
        <v>799</v>
      </c>
      <c r="B44" s="9" t="s">
        <v>424</v>
      </c>
      <c r="C44" s="2" t="s">
        <v>8</v>
      </c>
      <c r="D44" s="12">
        <v>3.52</v>
      </c>
      <c r="E44" s="18">
        <v>40.97</v>
      </c>
      <c r="F44" s="29">
        <v>3257</v>
      </c>
      <c r="G44" s="14">
        <v>3466</v>
      </c>
      <c r="H44" s="2">
        <v>44</v>
      </c>
      <c r="I44" s="2">
        <v>1</v>
      </c>
      <c r="J44" s="2" t="s">
        <v>192</v>
      </c>
      <c r="K44" s="2">
        <v>4</v>
      </c>
      <c r="L44" s="2">
        <v>5</v>
      </c>
      <c r="M44" s="16">
        <v>43685</v>
      </c>
      <c r="N44" s="13">
        <v>2</v>
      </c>
      <c r="O44" s="2" t="s">
        <v>192</v>
      </c>
      <c r="P44" s="2" t="s">
        <v>192</v>
      </c>
      <c r="Q44" s="2" t="s">
        <v>192</v>
      </c>
      <c r="R44" s="2">
        <f>SUM(N44,P44)</f>
        <v>2</v>
      </c>
    </row>
    <row r="45" spans="1:21" x14ac:dyDescent="0.25">
      <c r="A45" s="9" t="s">
        <v>749</v>
      </c>
      <c r="B45" s="9" t="s">
        <v>42</v>
      </c>
      <c r="C45" s="2" t="s">
        <v>8</v>
      </c>
      <c r="D45" s="12">
        <v>5.83</v>
      </c>
      <c r="E45" s="18">
        <v>40.99</v>
      </c>
      <c r="F45" s="29">
        <v>4584</v>
      </c>
      <c r="G45" s="14">
        <v>4911</v>
      </c>
      <c r="H45" s="2">
        <v>44</v>
      </c>
      <c r="I45" s="2">
        <v>1</v>
      </c>
      <c r="J45" s="2" t="s">
        <v>192</v>
      </c>
      <c r="K45" s="2">
        <v>2</v>
      </c>
      <c r="L45" s="2">
        <v>3</v>
      </c>
      <c r="M45" s="16">
        <v>42343</v>
      </c>
      <c r="N45" s="2">
        <v>13</v>
      </c>
      <c r="O45" s="2" t="s">
        <v>196</v>
      </c>
      <c r="P45" s="2" t="s">
        <v>192</v>
      </c>
      <c r="Q45" s="2" t="s">
        <v>192</v>
      </c>
      <c r="R45" s="2">
        <f>SUM(N45,P45)</f>
        <v>13</v>
      </c>
    </row>
    <row r="46" spans="1:21" x14ac:dyDescent="0.25">
      <c r="A46" s="9" t="s">
        <v>777</v>
      </c>
      <c r="B46" s="9" t="s">
        <v>98</v>
      </c>
      <c r="C46" s="2" t="s">
        <v>435</v>
      </c>
      <c r="D46" s="12">
        <v>7.25</v>
      </c>
      <c r="E46" s="18">
        <v>40.04</v>
      </c>
      <c r="F46" s="29">
        <v>5701</v>
      </c>
      <c r="G46" s="14">
        <v>6183</v>
      </c>
      <c r="H46" s="2">
        <v>50</v>
      </c>
      <c r="I46" s="2">
        <v>1</v>
      </c>
      <c r="J46" s="2" t="s">
        <v>192</v>
      </c>
      <c r="K46" s="2">
        <v>8</v>
      </c>
      <c r="L46" s="2">
        <v>9</v>
      </c>
      <c r="M46" s="16">
        <v>42910</v>
      </c>
      <c r="N46" s="2">
        <v>12</v>
      </c>
      <c r="O46" s="2" t="s">
        <v>566</v>
      </c>
      <c r="P46" s="2">
        <v>5</v>
      </c>
      <c r="Q46" s="2" t="s">
        <v>568</v>
      </c>
      <c r="R46" s="2">
        <f>SUM(N46,P46)</f>
        <v>17</v>
      </c>
    </row>
    <row r="47" spans="1:21" x14ac:dyDescent="0.25">
      <c r="A47" s="9" t="s">
        <v>653</v>
      </c>
      <c r="B47" s="9" t="s">
        <v>80</v>
      </c>
      <c r="C47" s="2" t="s">
        <v>435</v>
      </c>
      <c r="D47" s="12">
        <v>10.130000000000001</v>
      </c>
      <c r="E47" s="18">
        <v>40.75</v>
      </c>
      <c r="F47" s="29">
        <v>7691</v>
      </c>
      <c r="G47" s="14">
        <v>8157</v>
      </c>
      <c r="H47" s="2">
        <v>88</v>
      </c>
      <c r="I47" s="2">
        <v>1</v>
      </c>
      <c r="J47" s="2" t="s">
        <v>192</v>
      </c>
      <c r="K47" s="2">
        <v>14</v>
      </c>
      <c r="L47" s="2">
        <v>15</v>
      </c>
      <c r="M47" s="16">
        <v>42910</v>
      </c>
      <c r="N47" s="2">
        <v>23</v>
      </c>
      <c r="O47" s="2" t="s">
        <v>537</v>
      </c>
      <c r="P47" s="2">
        <v>1</v>
      </c>
      <c r="Q47" s="2" t="s">
        <v>192</v>
      </c>
      <c r="R47" s="2">
        <f>SUM(N47,P47)</f>
        <v>24</v>
      </c>
    </row>
    <row r="48" spans="1:21" x14ac:dyDescent="0.25">
      <c r="A48" s="9" t="s">
        <v>715</v>
      </c>
      <c r="B48" s="9" t="s">
        <v>39</v>
      </c>
      <c r="C48" s="2" t="s">
        <v>8</v>
      </c>
      <c r="D48" s="12">
        <v>4.68</v>
      </c>
      <c r="E48" s="18">
        <v>58.5</v>
      </c>
      <c r="F48" s="29">
        <v>3760</v>
      </c>
      <c r="G48" s="14">
        <v>3893</v>
      </c>
      <c r="H48" s="2">
        <v>48</v>
      </c>
      <c r="I48" s="2">
        <v>1</v>
      </c>
      <c r="J48" s="2" t="s">
        <v>192</v>
      </c>
      <c r="K48" s="2" t="s">
        <v>192</v>
      </c>
      <c r="L48" s="2">
        <v>1</v>
      </c>
      <c r="M48" s="16">
        <v>41248</v>
      </c>
      <c r="N48" s="2">
        <v>5</v>
      </c>
      <c r="O48" s="2" t="s">
        <v>192</v>
      </c>
      <c r="P48" s="2" t="s">
        <v>192</v>
      </c>
      <c r="R48" s="2">
        <f>SUM(N48,P48)</f>
        <v>5</v>
      </c>
    </row>
    <row r="49" spans="1:18" x14ac:dyDescent="0.25">
      <c r="A49" s="9" t="s">
        <v>726</v>
      </c>
      <c r="B49" s="9" t="s">
        <v>25</v>
      </c>
      <c r="C49" s="2" t="s">
        <v>435</v>
      </c>
      <c r="D49" s="12">
        <v>4.26</v>
      </c>
      <c r="E49" s="18">
        <v>34.299999999999997</v>
      </c>
      <c r="F49" s="29">
        <v>3925</v>
      </c>
      <c r="G49" s="14">
        <v>4116</v>
      </c>
      <c r="H49" s="2">
        <v>40</v>
      </c>
      <c r="I49" s="2">
        <v>1</v>
      </c>
      <c r="J49" s="2" t="s">
        <v>192</v>
      </c>
      <c r="K49" s="2" t="s">
        <v>192</v>
      </c>
      <c r="L49" s="2">
        <v>1</v>
      </c>
      <c r="M49" s="16">
        <v>41291</v>
      </c>
      <c r="N49" s="2">
        <v>5</v>
      </c>
      <c r="O49" s="2" t="s">
        <v>192</v>
      </c>
      <c r="P49" s="2" t="s">
        <v>192</v>
      </c>
      <c r="Q49" s="2" t="s">
        <v>192</v>
      </c>
      <c r="R49" s="2">
        <f>SUM(N49,P49)</f>
        <v>5</v>
      </c>
    </row>
    <row r="50" spans="1:18" x14ac:dyDescent="0.25">
      <c r="A50" s="9" t="s">
        <v>742</v>
      </c>
      <c r="B50" s="9" t="s">
        <v>62</v>
      </c>
      <c r="C50" s="2" t="s">
        <v>8</v>
      </c>
      <c r="D50" s="12">
        <v>4.04</v>
      </c>
      <c r="E50" s="18">
        <v>32.299999999999997</v>
      </c>
      <c r="F50" s="29">
        <v>3364</v>
      </c>
      <c r="G50" s="14">
        <v>3578</v>
      </c>
      <c r="H50" s="2">
        <v>44</v>
      </c>
      <c r="I50" s="2">
        <v>1</v>
      </c>
      <c r="J50" s="2" t="s">
        <v>192</v>
      </c>
      <c r="K50" s="2">
        <v>5</v>
      </c>
      <c r="L50" s="2">
        <v>6</v>
      </c>
      <c r="M50" s="16">
        <v>42081</v>
      </c>
      <c r="N50" s="32">
        <v>3</v>
      </c>
      <c r="O50" s="2" t="s">
        <v>192</v>
      </c>
      <c r="P50" s="2" t="s">
        <v>192</v>
      </c>
      <c r="Q50" s="2" t="s">
        <v>192</v>
      </c>
      <c r="R50" s="2">
        <f>SUM(N50,P50)</f>
        <v>3</v>
      </c>
    </row>
    <row r="51" spans="1:18" x14ac:dyDescent="0.25">
      <c r="A51" s="9" t="s">
        <v>741</v>
      </c>
      <c r="B51" s="9" t="s">
        <v>92</v>
      </c>
      <c r="C51" s="2" t="s">
        <v>8</v>
      </c>
      <c r="D51" s="12">
        <v>4.43</v>
      </c>
      <c r="E51" s="18">
        <v>33.32</v>
      </c>
      <c r="F51" s="29">
        <v>3540</v>
      </c>
      <c r="G51" s="14">
        <v>3799</v>
      </c>
      <c r="H51" s="2">
        <v>43</v>
      </c>
      <c r="I51" s="2">
        <v>1</v>
      </c>
      <c r="J51" s="2" t="s">
        <v>192</v>
      </c>
      <c r="K51" s="2">
        <v>11</v>
      </c>
      <c r="L51" s="2">
        <v>12</v>
      </c>
      <c r="M51" s="16">
        <v>42081</v>
      </c>
      <c r="N51" s="2">
        <v>5</v>
      </c>
      <c r="O51" s="2" t="s">
        <v>192</v>
      </c>
      <c r="P51" s="2" t="s">
        <v>192</v>
      </c>
      <c r="Q51" s="2" t="s">
        <v>192</v>
      </c>
      <c r="R51" s="2">
        <f>SUM(N51,P51)</f>
        <v>5</v>
      </c>
    </row>
    <row r="52" spans="1:18" x14ac:dyDescent="0.25">
      <c r="A52" s="9" t="s">
        <v>728</v>
      </c>
      <c r="B52" s="9" t="s">
        <v>58</v>
      </c>
      <c r="C52" s="2" t="s">
        <v>8</v>
      </c>
      <c r="D52" s="12">
        <v>4.72</v>
      </c>
      <c r="E52" s="18">
        <v>60.5</v>
      </c>
      <c r="F52" s="29">
        <v>4337</v>
      </c>
      <c r="G52" s="14">
        <v>4511</v>
      </c>
      <c r="H52" s="2">
        <v>50</v>
      </c>
      <c r="I52" s="2">
        <v>1</v>
      </c>
      <c r="J52" s="2" t="s">
        <v>192</v>
      </c>
      <c r="K52" s="2" t="s">
        <v>192</v>
      </c>
      <c r="L52" s="2">
        <v>1</v>
      </c>
      <c r="M52" s="16">
        <v>41575</v>
      </c>
      <c r="N52" s="2">
        <v>6</v>
      </c>
      <c r="O52" s="2" t="s">
        <v>192</v>
      </c>
      <c r="P52" s="2" t="s">
        <v>192</v>
      </c>
      <c r="Q52" s="2" t="s">
        <v>192</v>
      </c>
      <c r="R52" s="2">
        <f>SUM(N52,P52)</f>
        <v>6</v>
      </c>
    </row>
    <row r="53" spans="1:18" x14ac:dyDescent="0.25">
      <c r="A53" s="9" t="s">
        <v>674</v>
      </c>
      <c r="B53" s="9" t="s">
        <v>14</v>
      </c>
      <c r="C53" s="2" t="s">
        <v>8</v>
      </c>
      <c r="D53" s="12">
        <v>4.66</v>
      </c>
      <c r="E53" s="18">
        <v>62</v>
      </c>
      <c r="F53" s="29">
        <v>4430</v>
      </c>
      <c r="G53" s="14">
        <v>4482</v>
      </c>
      <c r="H53" s="2">
        <v>45</v>
      </c>
      <c r="I53" s="2">
        <v>1</v>
      </c>
      <c r="J53" s="2" t="s">
        <v>192</v>
      </c>
      <c r="K53" s="2" t="s">
        <v>192</v>
      </c>
      <c r="L53" s="2">
        <v>1</v>
      </c>
      <c r="M53" s="16">
        <v>37889</v>
      </c>
      <c r="N53" s="2">
        <v>7</v>
      </c>
      <c r="O53" s="2" t="s">
        <v>192</v>
      </c>
      <c r="P53" s="2" t="s">
        <v>192</v>
      </c>
      <c r="Q53" s="2" t="s">
        <v>192</v>
      </c>
      <c r="R53" s="2">
        <f>SUM(N53,P53)</f>
        <v>7</v>
      </c>
    </row>
    <row r="54" spans="1:18" x14ac:dyDescent="0.25">
      <c r="A54" s="9" t="s">
        <v>639</v>
      </c>
      <c r="B54" s="9" t="s">
        <v>43</v>
      </c>
      <c r="C54" s="2" t="s">
        <v>8</v>
      </c>
      <c r="D54" s="12">
        <v>5.88</v>
      </c>
      <c r="E54" s="18">
        <v>43.39</v>
      </c>
      <c r="F54" s="29">
        <v>4987</v>
      </c>
      <c r="G54" s="14">
        <v>5238</v>
      </c>
      <c r="H54" s="2">
        <v>41</v>
      </c>
      <c r="I54" s="2">
        <v>1</v>
      </c>
      <c r="J54" s="2" t="s">
        <v>192</v>
      </c>
      <c r="K54" s="2">
        <v>4</v>
      </c>
      <c r="L54" s="2">
        <v>5</v>
      </c>
      <c r="M54" s="16">
        <v>41249</v>
      </c>
      <c r="N54" s="2">
        <v>8</v>
      </c>
      <c r="O54" s="2" t="s">
        <v>192</v>
      </c>
      <c r="P54" s="2">
        <v>3</v>
      </c>
      <c r="Q54" s="2" t="s">
        <v>192</v>
      </c>
      <c r="R54" s="2">
        <f>SUM(N54,P54)</f>
        <v>11</v>
      </c>
    </row>
    <row r="55" spans="1:18" x14ac:dyDescent="0.25">
      <c r="A55" s="9" t="s">
        <v>760</v>
      </c>
      <c r="B55" s="9" t="s">
        <v>65</v>
      </c>
      <c r="C55" s="2" t="s">
        <v>435</v>
      </c>
      <c r="D55" s="12">
        <v>3.05</v>
      </c>
      <c r="E55" s="18">
        <v>52.2</v>
      </c>
      <c r="F55" s="29">
        <v>2945</v>
      </c>
      <c r="G55" s="14">
        <v>3084</v>
      </c>
      <c r="H55" s="2">
        <v>43</v>
      </c>
      <c r="I55" s="2">
        <v>1</v>
      </c>
      <c r="J55" s="2" t="s">
        <v>192</v>
      </c>
      <c r="K55" s="2" t="s">
        <v>192</v>
      </c>
      <c r="L55" s="2">
        <v>1</v>
      </c>
      <c r="M55" s="16">
        <v>42681</v>
      </c>
      <c r="N55" s="2">
        <v>4</v>
      </c>
      <c r="O55" s="2" t="s">
        <v>192</v>
      </c>
      <c r="P55" s="2" t="s">
        <v>192</v>
      </c>
      <c r="Q55" s="2" t="s">
        <v>192</v>
      </c>
      <c r="R55" s="2">
        <f>SUM(N55,P55)</f>
        <v>4</v>
      </c>
    </row>
    <row r="56" spans="1:18" x14ac:dyDescent="0.25">
      <c r="A56" s="9" t="s">
        <v>697</v>
      </c>
      <c r="B56" s="9" t="s">
        <v>125</v>
      </c>
      <c r="C56" s="2" t="s">
        <v>8</v>
      </c>
      <c r="D56" s="12">
        <v>6.55</v>
      </c>
      <c r="E56" s="18">
        <v>38.5</v>
      </c>
      <c r="F56" s="29">
        <v>5537</v>
      </c>
      <c r="G56" s="14">
        <v>5843</v>
      </c>
      <c r="H56" s="2">
        <v>46</v>
      </c>
      <c r="I56" s="2">
        <v>1</v>
      </c>
      <c r="J56" s="2" t="s">
        <v>192</v>
      </c>
      <c r="K56" s="2">
        <v>6</v>
      </c>
      <c r="L56" s="2">
        <v>7</v>
      </c>
      <c r="M56" s="16">
        <v>39799</v>
      </c>
      <c r="N56" s="2">
        <v>9</v>
      </c>
      <c r="O56" s="2" t="s">
        <v>192</v>
      </c>
      <c r="P56" s="2">
        <v>2</v>
      </c>
      <c r="Q56" s="2" t="s">
        <v>486</v>
      </c>
      <c r="R56" s="2">
        <f>SUM(N56,P56)</f>
        <v>11</v>
      </c>
    </row>
    <row r="57" spans="1:18" x14ac:dyDescent="0.25">
      <c r="A57" s="9" t="s">
        <v>633</v>
      </c>
      <c r="B57" s="9" t="s">
        <v>144</v>
      </c>
      <c r="C57" s="2" t="s">
        <v>8</v>
      </c>
      <c r="D57" s="12">
        <v>7.84</v>
      </c>
      <c r="E57" s="18">
        <v>39.869999999999997</v>
      </c>
      <c r="F57" s="29">
        <v>6587</v>
      </c>
      <c r="G57" s="14">
        <v>6968</v>
      </c>
      <c r="H57" s="2">
        <v>50</v>
      </c>
      <c r="I57" s="2">
        <v>1</v>
      </c>
      <c r="J57" s="2" t="s">
        <v>192</v>
      </c>
      <c r="K57" s="2">
        <v>6</v>
      </c>
      <c r="L57" s="2">
        <v>7</v>
      </c>
      <c r="M57" s="16">
        <v>40436</v>
      </c>
      <c r="N57" s="2">
        <v>7</v>
      </c>
      <c r="O57" s="2" t="s">
        <v>192</v>
      </c>
      <c r="P57" s="2">
        <v>7</v>
      </c>
      <c r="Q57" s="2" t="s">
        <v>486</v>
      </c>
      <c r="R57" s="2">
        <f>SUM(N57,P57)</f>
        <v>14</v>
      </c>
    </row>
    <row r="58" spans="1:18" x14ac:dyDescent="0.25">
      <c r="A58" s="9" t="s">
        <v>767</v>
      </c>
      <c r="B58" s="9" t="s">
        <v>425</v>
      </c>
      <c r="C58" s="2" t="s">
        <v>8</v>
      </c>
      <c r="D58" s="12">
        <v>5.58</v>
      </c>
      <c r="E58" s="18">
        <v>54.6</v>
      </c>
      <c r="F58" s="29">
        <v>4661</v>
      </c>
      <c r="G58" s="14">
        <v>5115</v>
      </c>
      <c r="H58" s="2">
        <v>45</v>
      </c>
      <c r="I58" s="2">
        <v>1</v>
      </c>
      <c r="J58" s="2" t="s">
        <v>192</v>
      </c>
      <c r="K58" s="2" t="s">
        <v>192</v>
      </c>
      <c r="L58" s="2">
        <v>1</v>
      </c>
      <c r="M58" s="16">
        <v>42908</v>
      </c>
      <c r="N58" s="2">
        <v>9</v>
      </c>
      <c r="O58" s="2" t="s">
        <v>192</v>
      </c>
      <c r="P58" s="2" t="s">
        <v>192</v>
      </c>
      <c r="Q58" s="2" t="s">
        <v>192</v>
      </c>
      <c r="R58" s="2">
        <f>SUM(N58,P58)</f>
        <v>9</v>
      </c>
    </row>
    <row r="59" spans="1:18" x14ac:dyDescent="0.25">
      <c r="A59" s="9" t="s">
        <v>724</v>
      </c>
      <c r="B59" s="9" t="s">
        <v>48</v>
      </c>
      <c r="C59" s="2" t="s">
        <v>8</v>
      </c>
      <c r="D59" s="12">
        <v>4.18</v>
      </c>
      <c r="E59" s="18">
        <v>42.9</v>
      </c>
      <c r="F59" s="29">
        <v>3669</v>
      </c>
      <c r="G59" s="14">
        <v>3884</v>
      </c>
      <c r="H59" s="2">
        <v>46</v>
      </c>
      <c r="I59" s="2">
        <v>1</v>
      </c>
      <c r="J59" s="2" t="s">
        <v>192</v>
      </c>
      <c r="K59" s="2" t="s">
        <v>192</v>
      </c>
      <c r="L59" s="2">
        <v>1</v>
      </c>
      <c r="M59" s="16">
        <v>41250</v>
      </c>
      <c r="N59" s="2">
        <v>3</v>
      </c>
      <c r="O59" s="2" t="s">
        <v>192</v>
      </c>
      <c r="P59" s="2" t="s">
        <v>192</v>
      </c>
      <c r="Q59" s="2" t="s">
        <v>192</v>
      </c>
      <c r="R59" s="2">
        <f>SUM(N59,P59)</f>
        <v>3</v>
      </c>
    </row>
    <row r="60" spans="1:18" x14ac:dyDescent="0.25">
      <c r="A60" s="9" t="s">
        <v>740</v>
      </c>
      <c r="B60" s="9" t="s">
        <v>26</v>
      </c>
      <c r="C60" s="2" t="s">
        <v>8</v>
      </c>
      <c r="D60" s="12">
        <v>6.8</v>
      </c>
      <c r="E60" s="18">
        <v>47.01</v>
      </c>
      <c r="F60" s="29">
        <v>6057</v>
      </c>
      <c r="G60" s="14">
        <v>6327</v>
      </c>
      <c r="H60" s="2">
        <v>67</v>
      </c>
      <c r="I60" s="2">
        <v>1</v>
      </c>
      <c r="J60" s="2" t="s">
        <v>192</v>
      </c>
      <c r="K60" s="2">
        <v>3</v>
      </c>
      <c r="L60" s="2">
        <v>4</v>
      </c>
      <c r="M60" s="16">
        <v>42049</v>
      </c>
      <c r="N60" s="2">
        <v>13</v>
      </c>
      <c r="O60" s="2" t="s">
        <v>192</v>
      </c>
      <c r="P60" s="2">
        <v>1</v>
      </c>
      <c r="Q60" s="2" t="s">
        <v>192</v>
      </c>
      <c r="R60" s="2">
        <f>SUM(N60,P60)</f>
        <v>14</v>
      </c>
    </row>
    <row r="61" spans="1:18" x14ac:dyDescent="0.25">
      <c r="A61" s="9" t="s">
        <v>642</v>
      </c>
      <c r="B61" s="9" t="s">
        <v>106</v>
      </c>
      <c r="C61" s="2" t="s">
        <v>8</v>
      </c>
      <c r="D61" s="12">
        <v>6.8</v>
      </c>
      <c r="E61" s="18">
        <v>47.01</v>
      </c>
      <c r="F61" s="29">
        <v>6058</v>
      </c>
      <c r="G61" s="14">
        <v>6327</v>
      </c>
      <c r="H61" s="2">
        <v>67</v>
      </c>
      <c r="I61" s="2">
        <v>1</v>
      </c>
      <c r="J61" s="2" t="s">
        <v>192</v>
      </c>
      <c r="K61" s="2">
        <v>3</v>
      </c>
      <c r="L61" s="2">
        <v>4</v>
      </c>
      <c r="M61" s="16">
        <v>42049</v>
      </c>
      <c r="N61" s="2">
        <v>13</v>
      </c>
      <c r="O61" s="2" t="s">
        <v>192</v>
      </c>
      <c r="P61" s="2">
        <v>1</v>
      </c>
      <c r="Q61" s="2" t="s">
        <v>192</v>
      </c>
      <c r="R61" s="2">
        <f>SUM(N61,P61)</f>
        <v>14</v>
      </c>
    </row>
    <row r="62" spans="1:18" x14ac:dyDescent="0.25">
      <c r="A62" s="9" t="s">
        <v>655</v>
      </c>
      <c r="B62" s="9" t="s">
        <v>119</v>
      </c>
      <c r="C62" s="2" t="s">
        <v>8</v>
      </c>
      <c r="D62" s="12">
        <v>7.23</v>
      </c>
      <c r="E62" s="18">
        <v>47.01</v>
      </c>
      <c r="F62" s="29">
        <v>6491</v>
      </c>
      <c r="G62" s="14">
        <v>6757</v>
      </c>
      <c r="H62" s="2">
        <v>67</v>
      </c>
      <c r="I62" s="2">
        <v>1</v>
      </c>
      <c r="J62" s="2" t="s">
        <v>192</v>
      </c>
      <c r="K62" s="2">
        <v>3</v>
      </c>
      <c r="L62" s="2">
        <v>4</v>
      </c>
      <c r="M62" s="16">
        <v>42910</v>
      </c>
      <c r="N62" s="2">
        <v>13</v>
      </c>
      <c r="O62" s="2" t="s">
        <v>192</v>
      </c>
      <c r="P62" s="2">
        <v>1</v>
      </c>
      <c r="Q62" s="2" t="s">
        <v>192</v>
      </c>
      <c r="R62" s="2">
        <f>SUM(N62,P62)</f>
        <v>14</v>
      </c>
    </row>
    <row r="63" spans="1:18" x14ac:dyDescent="0.25">
      <c r="A63" s="9" t="s">
        <v>645</v>
      </c>
      <c r="B63" s="9" t="s">
        <v>120</v>
      </c>
      <c r="C63" s="2" t="s">
        <v>8</v>
      </c>
      <c r="D63" s="12">
        <v>6.76</v>
      </c>
      <c r="E63" s="18">
        <v>46.66</v>
      </c>
      <c r="F63" s="29">
        <v>6350</v>
      </c>
      <c r="G63" s="14">
        <v>6603</v>
      </c>
      <c r="H63" s="2">
        <v>68</v>
      </c>
      <c r="I63" s="2">
        <v>1</v>
      </c>
      <c r="J63" s="2" t="s">
        <v>192</v>
      </c>
      <c r="K63" s="2">
        <v>3</v>
      </c>
      <c r="L63" s="2">
        <v>4</v>
      </c>
      <c r="M63" s="16">
        <v>42347</v>
      </c>
      <c r="N63" s="2">
        <v>9</v>
      </c>
      <c r="O63" s="2" t="s">
        <v>192</v>
      </c>
      <c r="P63" s="2">
        <v>2</v>
      </c>
      <c r="Q63" s="2" t="s">
        <v>192</v>
      </c>
      <c r="R63" s="2">
        <f>SUM(N63,P63)</f>
        <v>11</v>
      </c>
    </row>
    <row r="64" spans="1:18" x14ac:dyDescent="0.25">
      <c r="A64" s="9" t="s">
        <v>751</v>
      </c>
      <c r="B64" s="9" t="s">
        <v>105</v>
      </c>
      <c r="C64" s="2" t="s">
        <v>8</v>
      </c>
      <c r="D64" s="12">
        <v>5.48</v>
      </c>
      <c r="E64" s="18">
        <v>55.9</v>
      </c>
      <c r="F64" s="29">
        <v>4369</v>
      </c>
      <c r="G64" s="14">
        <v>4719</v>
      </c>
      <c r="H64" s="2">
        <v>45</v>
      </c>
      <c r="I64" s="2">
        <v>1</v>
      </c>
      <c r="J64" s="2" t="s">
        <v>192</v>
      </c>
      <c r="K64" s="2" t="s">
        <v>192</v>
      </c>
      <c r="L64" s="2">
        <v>1</v>
      </c>
      <c r="M64" s="16">
        <v>42398</v>
      </c>
      <c r="N64" s="2">
        <v>9</v>
      </c>
      <c r="O64" s="2" t="s">
        <v>192</v>
      </c>
      <c r="P64" s="2" t="s">
        <v>192</v>
      </c>
      <c r="Q64" s="2" t="s">
        <v>192</v>
      </c>
      <c r="R64" s="2">
        <f>SUM(N64,P64)</f>
        <v>9</v>
      </c>
    </row>
    <row r="65" spans="1:18" x14ac:dyDescent="0.25">
      <c r="A65" s="9" t="s">
        <v>711</v>
      </c>
      <c r="B65" s="9" t="s">
        <v>33</v>
      </c>
      <c r="C65" s="2" t="s">
        <v>8</v>
      </c>
      <c r="D65" s="12">
        <v>5.13</v>
      </c>
      <c r="E65" s="18">
        <v>43.9</v>
      </c>
      <c r="F65" s="29">
        <v>4177</v>
      </c>
      <c r="G65" s="14">
        <v>4608</v>
      </c>
      <c r="H65" s="2">
        <v>47</v>
      </c>
      <c r="I65" s="2">
        <v>1</v>
      </c>
      <c r="J65" s="2" t="s">
        <v>192</v>
      </c>
      <c r="K65" s="2" t="s">
        <v>192</v>
      </c>
      <c r="L65" s="2">
        <v>1</v>
      </c>
      <c r="M65" s="16">
        <v>41247</v>
      </c>
      <c r="N65" s="32">
        <v>8</v>
      </c>
      <c r="O65" s="2" t="s">
        <v>192</v>
      </c>
      <c r="P65" s="2" t="s">
        <v>192</v>
      </c>
      <c r="Q65" s="2" t="s">
        <v>192</v>
      </c>
      <c r="R65" s="2">
        <f>SUM(N65,P65)</f>
        <v>8</v>
      </c>
    </row>
    <row r="66" spans="1:18" x14ac:dyDescent="0.25">
      <c r="A66" s="9" t="s">
        <v>731</v>
      </c>
      <c r="B66" s="9" t="s">
        <v>94</v>
      </c>
      <c r="C66" s="2" t="s">
        <v>435</v>
      </c>
      <c r="D66" s="12">
        <v>6.23</v>
      </c>
      <c r="E66" s="18">
        <v>44.7</v>
      </c>
      <c r="F66" s="29">
        <v>5125</v>
      </c>
      <c r="G66" s="14">
        <v>5830</v>
      </c>
      <c r="H66" s="2">
        <v>42</v>
      </c>
      <c r="I66" s="2">
        <v>1</v>
      </c>
      <c r="J66" s="2" t="s">
        <v>192</v>
      </c>
      <c r="K66" s="2" t="s">
        <v>192</v>
      </c>
      <c r="L66" s="2">
        <v>1</v>
      </c>
      <c r="M66" s="16">
        <v>41684</v>
      </c>
      <c r="N66" s="32">
        <v>3</v>
      </c>
      <c r="O66" s="2" t="s">
        <v>192</v>
      </c>
      <c r="P66" s="2" t="s">
        <v>192</v>
      </c>
      <c r="Q66" s="2" t="s">
        <v>192</v>
      </c>
      <c r="R66" s="2">
        <f>SUM(N66,P66)</f>
        <v>3</v>
      </c>
    </row>
    <row r="67" spans="1:18" x14ac:dyDescent="0.25">
      <c r="A67" s="9" t="s">
        <v>720</v>
      </c>
      <c r="B67" s="9" t="s">
        <v>44</v>
      </c>
      <c r="C67" s="2" t="s">
        <v>8</v>
      </c>
      <c r="D67" s="12">
        <v>7.97</v>
      </c>
      <c r="E67" s="18">
        <v>46.2</v>
      </c>
      <c r="F67" s="29">
        <v>6353</v>
      </c>
      <c r="G67" s="14">
        <v>6701</v>
      </c>
      <c r="H67" s="2">
        <v>71</v>
      </c>
      <c r="I67" s="2">
        <v>1</v>
      </c>
      <c r="J67" s="2" t="s">
        <v>192</v>
      </c>
      <c r="K67" s="2">
        <v>8</v>
      </c>
      <c r="L67" s="2">
        <v>9</v>
      </c>
      <c r="M67" s="16">
        <v>41249</v>
      </c>
      <c r="N67" s="2">
        <v>9</v>
      </c>
      <c r="O67" s="2" t="s">
        <v>192</v>
      </c>
      <c r="P67" s="2" t="s">
        <v>192</v>
      </c>
      <c r="Q67" s="2" t="s">
        <v>192</v>
      </c>
      <c r="R67" s="2">
        <f>SUM(N67,P67)</f>
        <v>9</v>
      </c>
    </row>
    <row r="68" spans="1:18" x14ac:dyDescent="0.25">
      <c r="A68" s="9" t="s">
        <v>757</v>
      </c>
      <c r="B68" s="9" t="s">
        <v>117</v>
      </c>
      <c r="C68" s="2" t="s">
        <v>8</v>
      </c>
      <c r="D68" s="12">
        <v>4.4400000000000004</v>
      </c>
      <c r="E68" s="18">
        <v>42.86</v>
      </c>
      <c r="F68" s="29">
        <v>3966</v>
      </c>
      <c r="G68" s="14">
        <v>4385</v>
      </c>
      <c r="H68" s="2">
        <v>41</v>
      </c>
      <c r="I68" s="2">
        <v>1</v>
      </c>
      <c r="J68" s="2" t="s">
        <v>192</v>
      </c>
      <c r="K68" s="2">
        <v>1</v>
      </c>
      <c r="L68" s="2">
        <v>2</v>
      </c>
      <c r="M68" s="16">
        <v>42597</v>
      </c>
      <c r="N68" s="2">
        <v>9</v>
      </c>
      <c r="O68" s="2" t="s">
        <v>526</v>
      </c>
      <c r="R68" s="2">
        <f>SUM(N68,P68)</f>
        <v>9</v>
      </c>
    </row>
    <row r="69" spans="1:18" x14ac:dyDescent="0.25">
      <c r="A69" s="9" t="s">
        <v>743</v>
      </c>
      <c r="B69" s="9" t="s">
        <v>112</v>
      </c>
      <c r="C69" s="2" t="s">
        <v>8</v>
      </c>
      <c r="D69" s="12">
        <v>4.3</v>
      </c>
      <c r="E69" s="18">
        <v>42.9</v>
      </c>
      <c r="F69" s="29">
        <v>3818</v>
      </c>
      <c r="G69" s="14">
        <v>4203</v>
      </c>
      <c r="H69" s="2">
        <v>41</v>
      </c>
      <c r="I69" s="2">
        <v>1</v>
      </c>
      <c r="J69" s="2" t="s">
        <v>192</v>
      </c>
      <c r="K69" s="2">
        <v>1</v>
      </c>
      <c r="L69" s="2">
        <v>2</v>
      </c>
      <c r="M69" s="16">
        <v>42123</v>
      </c>
      <c r="N69" s="2">
        <v>9</v>
      </c>
      <c r="O69" s="2" t="s">
        <v>526</v>
      </c>
      <c r="P69" s="2" t="s">
        <v>192</v>
      </c>
      <c r="Q69" s="2" t="s">
        <v>192</v>
      </c>
      <c r="R69" s="2">
        <f>SUM(N69,P69)</f>
        <v>9</v>
      </c>
    </row>
    <row r="70" spans="1:18" x14ac:dyDescent="0.25">
      <c r="A70" s="9" t="s">
        <v>694</v>
      </c>
      <c r="B70" s="9" t="s">
        <v>10</v>
      </c>
      <c r="C70" s="2" t="s">
        <v>8</v>
      </c>
      <c r="D70" s="12">
        <v>5.84</v>
      </c>
      <c r="E70" s="18">
        <v>42.3</v>
      </c>
      <c r="F70" s="29">
        <v>4997</v>
      </c>
      <c r="G70" s="14">
        <v>5949</v>
      </c>
      <c r="H70" s="2">
        <v>42</v>
      </c>
      <c r="I70" s="2">
        <v>1</v>
      </c>
      <c r="J70" s="2" t="s">
        <v>192</v>
      </c>
      <c r="K70" s="2" t="s">
        <v>192</v>
      </c>
      <c r="L70" s="2">
        <v>1</v>
      </c>
      <c r="M70" s="16">
        <v>39471</v>
      </c>
      <c r="N70" s="2">
        <v>12</v>
      </c>
      <c r="O70" s="2" t="s">
        <v>459</v>
      </c>
      <c r="P70" s="2" t="s">
        <v>192</v>
      </c>
      <c r="Q70" s="2" t="s">
        <v>192</v>
      </c>
      <c r="R70" s="2">
        <f>SUM(N70,P70)</f>
        <v>12</v>
      </c>
    </row>
    <row r="71" spans="1:18" x14ac:dyDescent="0.25">
      <c r="A71" s="9" t="s">
        <v>766</v>
      </c>
      <c r="B71" s="9" t="s">
        <v>134</v>
      </c>
      <c r="C71" s="2" t="s">
        <v>8</v>
      </c>
      <c r="D71" s="12">
        <v>5.14</v>
      </c>
      <c r="E71" s="18">
        <v>42.1</v>
      </c>
      <c r="F71" s="29">
        <v>4467</v>
      </c>
      <c r="G71" s="14">
        <v>5125</v>
      </c>
      <c r="H71" s="2">
        <v>42</v>
      </c>
      <c r="I71" s="2">
        <v>1</v>
      </c>
      <c r="J71" s="2" t="s">
        <v>192</v>
      </c>
      <c r="K71" s="2" t="s">
        <v>192</v>
      </c>
      <c r="L71" s="2">
        <v>1</v>
      </c>
      <c r="M71" s="16">
        <v>42843</v>
      </c>
      <c r="N71" s="2">
        <v>10</v>
      </c>
      <c r="O71" s="2" t="s">
        <v>553</v>
      </c>
      <c r="P71" s="2" t="s">
        <v>192</v>
      </c>
      <c r="Q71" s="2" t="s">
        <v>192</v>
      </c>
      <c r="R71" s="2">
        <f>SUM(N71,P71)</f>
        <v>10</v>
      </c>
    </row>
    <row r="72" spans="1:18" x14ac:dyDescent="0.25">
      <c r="A72" s="9" t="s">
        <v>747</v>
      </c>
      <c r="B72" s="9" t="s">
        <v>60</v>
      </c>
      <c r="C72" s="2" t="s">
        <v>8</v>
      </c>
      <c r="D72" s="12">
        <v>5.69</v>
      </c>
      <c r="E72" s="18">
        <v>42.4</v>
      </c>
      <c r="F72" s="29">
        <v>4590</v>
      </c>
      <c r="G72" s="14">
        <v>5845</v>
      </c>
      <c r="H72" s="2">
        <v>42</v>
      </c>
      <c r="I72" s="2">
        <v>1</v>
      </c>
      <c r="J72" s="2" t="s">
        <v>192</v>
      </c>
      <c r="K72" s="2" t="s">
        <v>192</v>
      </c>
      <c r="L72" s="2">
        <v>1</v>
      </c>
      <c r="M72" s="16">
        <v>42227</v>
      </c>
      <c r="N72" s="2">
        <v>12</v>
      </c>
      <c r="O72" s="2" t="s">
        <v>527</v>
      </c>
      <c r="P72" s="2" t="s">
        <v>192</v>
      </c>
      <c r="Q72" s="2" t="s">
        <v>192</v>
      </c>
      <c r="R72" s="2">
        <f>SUM(N72,P72)</f>
        <v>12</v>
      </c>
    </row>
    <row r="73" spans="1:18" x14ac:dyDescent="0.25">
      <c r="A73" s="9" t="s">
        <v>789</v>
      </c>
      <c r="B73" s="9" t="s">
        <v>50</v>
      </c>
      <c r="C73" s="2" t="s">
        <v>8</v>
      </c>
      <c r="D73" s="12">
        <v>5.0199999999999996</v>
      </c>
      <c r="E73" s="18">
        <v>42.7</v>
      </c>
      <c r="F73" s="29">
        <v>4475</v>
      </c>
      <c r="G73" s="14">
        <v>5121</v>
      </c>
      <c r="H73" s="2">
        <v>42</v>
      </c>
      <c r="I73" s="2">
        <v>1</v>
      </c>
      <c r="J73" s="2" t="s">
        <v>192</v>
      </c>
      <c r="K73" s="2" t="s">
        <v>192</v>
      </c>
      <c r="L73" s="2">
        <v>1</v>
      </c>
      <c r="M73" s="16">
        <v>43186</v>
      </c>
      <c r="N73" s="2">
        <v>9</v>
      </c>
      <c r="O73" s="2" t="s">
        <v>299</v>
      </c>
      <c r="P73" s="2" t="s">
        <v>192</v>
      </c>
      <c r="Q73" s="2" t="s">
        <v>192</v>
      </c>
      <c r="R73" s="2">
        <f>SUM(N73,P73)</f>
        <v>9</v>
      </c>
    </row>
    <row r="74" spans="1:18" x14ac:dyDescent="0.25">
      <c r="A74" s="9" t="s">
        <v>794</v>
      </c>
      <c r="B74" s="9" t="s">
        <v>88</v>
      </c>
      <c r="C74" s="2" t="s">
        <v>8</v>
      </c>
      <c r="D74" s="12">
        <v>5.87</v>
      </c>
      <c r="E74" s="18">
        <v>42.4</v>
      </c>
      <c r="F74" s="29">
        <v>4941</v>
      </c>
      <c r="G74" s="14">
        <v>6073</v>
      </c>
      <c r="H74" s="2">
        <v>42</v>
      </c>
      <c r="I74" s="2">
        <v>1</v>
      </c>
      <c r="J74" s="2" t="s">
        <v>192</v>
      </c>
      <c r="K74" s="2" t="s">
        <v>192</v>
      </c>
      <c r="L74" s="2">
        <v>1</v>
      </c>
      <c r="M74" s="16">
        <v>43426</v>
      </c>
      <c r="N74" s="2">
        <v>11</v>
      </c>
      <c r="O74" s="2" t="s">
        <v>594</v>
      </c>
      <c r="P74" s="2" t="s">
        <v>192</v>
      </c>
      <c r="Q74" s="2" t="s">
        <v>192</v>
      </c>
      <c r="R74" s="2">
        <f>SUM(N74,P74)</f>
        <v>11</v>
      </c>
    </row>
    <row r="75" spans="1:18" x14ac:dyDescent="0.25">
      <c r="A75" s="9" t="s">
        <v>759</v>
      </c>
      <c r="B75" s="9" t="s">
        <v>93</v>
      </c>
      <c r="C75" s="2" t="s">
        <v>435</v>
      </c>
      <c r="D75" s="12">
        <v>9.3800000000000008</v>
      </c>
      <c r="E75" s="18">
        <v>43.7</v>
      </c>
      <c r="F75" s="29">
        <v>6846</v>
      </c>
      <c r="G75" s="14">
        <v>7770</v>
      </c>
      <c r="H75" s="2">
        <v>52</v>
      </c>
      <c r="I75" s="2">
        <v>1</v>
      </c>
      <c r="J75" s="2" t="s">
        <v>192</v>
      </c>
      <c r="K75" s="2">
        <v>2</v>
      </c>
      <c r="L75" s="2">
        <v>3</v>
      </c>
      <c r="M75" s="16">
        <v>42669</v>
      </c>
      <c r="N75" s="2">
        <v>42</v>
      </c>
      <c r="O75" s="2" t="s">
        <v>542</v>
      </c>
      <c r="P75" s="2" t="s">
        <v>192</v>
      </c>
      <c r="Q75" s="2" t="s">
        <v>192</v>
      </c>
      <c r="R75" s="2">
        <f>SUM(N75,P75)</f>
        <v>42</v>
      </c>
    </row>
    <row r="76" spans="1:18" x14ac:dyDescent="0.25">
      <c r="A76" s="9" t="s">
        <v>758</v>
      </c>
      <c r="B76" s="9" t="s">
        <v>51</v>
      </c>
      <c r="C76" s="2" t="s">
        <v>8</v>
      </c>
      <c r="D76" s="12">
        <v>9.7100000000000009</v>
      </c>
      <c r="E76" s="18">
        <v>43.5</v>
      </c>
      <c r="F76" s="29">
        <v>6904</v>
      </c>
      <c r="G76" s="14">
        <v>7726</v>
      </c>
      <c r="H76" s="2">
        <v>61</v>
      </c>
      <c r="I76" s="2">
        <v>1</v>
      </c>
      <c r="J76" s="2" t="s">
        <v>192</v>
      </c>
      <c r="K76" s="2">
        <v>1</v>
      </c>
      <c r="L76" s="2">
        <v>2</v>
      </c>
      <c r="M76" s="16">
        <v>42661</v>
      </c>
      <c r="N76" s="2">
        <v>42</v>
      </c>
      <c r="O76" s="2" t="s">
        <v>547</v>
      </c>
      <c r="P76" s="2" t="s">
        <v>192</v>
      </c>
      <c r="Q76" s="2" t="s">
        <v>192</v>
      </c>
      <c r="R76" s="2">
        <f>SUM(N76,P76)</f>
        <v>42</v>
      </c>
    </row>
    <row r="77" spans="1:18" x14ac:dyDescent="0.25">
      <c r="A77" s="9" t="s">
        <v>730</v>
      </c>
      <c r="B77" s="9" t="s">
        <v>16</v>
      </c>
      <c r="C77" s="2" t="s">
        <v>435</v>
      </c>
      <c r="D77" s="12">
        <v>5.46</v>
      </c>
      <c r="E77" s="18">
        <v>41.2</v>
      </c>
      <c r="F77" s="29">
        <v>4517</v>
      </c>
      <c r="G77" s="14">
        <v>4896</v>
      </c>
      <c r="H77" s="2">
        <v>48</v>
      </c>
      <c r="I77" s="2">
        <v>1</v>
      </c>
      <c r="J77" s="2" t="s">
        <v>192</v>
      </c>
      <c r="K77" s="2" t="s">
        <v>192</v>
      </c>
      <c r="L77" s="2">
        <v>1</v>
      </c>
      <c r="M77" s="16">
        <v>41684</v>
      </c>
      <c r="N77" s="2">
        <v>10</v>
      </c>
      <c r="O77" s="2" t="s">
        <v>517</v>
      </c>
      <c r="P77" s="2" t="s">
        <v>192</v>
      </c>
      <c r="Q77" s="2" t="s">
        <v>192</v>
      </c>
      <c r="R77" s="2">
        <f>SUM(N77,P77)</f>
        <v>10</v>
      </c>
    </row>
    <row r="78" spans="1:18" x14ac:dyDescent="0.25">
      <c r="A78" s="9" t="s">
        <v>792</v>
      </c>
      <c r="B78" s="9" t="s">
        <v>109</v>
      </c>
      <c r="C78" s="2" t="s">
        <v>8</v>
      </c>
      <c r="D78" s="12">
        <v>5.39</v>
      </c>
      <c r="E78" s="18">
        <v>41.26</v>
      </c>
      <c r="F78" s="29">
        <v>4486</v>
      </c>
      <c r="G78" s="14">
        <v>4836</v>
      </c>
      <c r="H78" s="2">
        <v>44</v>
      </c>
      <c r="I78" s="2">
        <v>1</v>
      </c>
      <c r="J78" s="2" t="s">
        <v>192</v>
      </c>
      <c r="K78" s="2">
        <v>1</v>
      </c>
      <c r="L78" s="2">
        <v>2</v>
      </c>
      <c r="M78" s="16">
        <v>43207</v>
      </c>
      <c r="N78" s="2">
        <v>11</v>
      </c>
      <c r="O78" s="2" t="s">
        <v>572</v>
      </c>
      <c r="P78" s="2" t="s">
        <v>192</v>
      </c>
      <c r="Q78" s="2" t="s">
        <v>192</v>
      </c>
      <c r="R78" s="2">
        <f>SUM(N78,P78)</f>
        <v>11</v>
      </c>
    </row>
    <row r="79" spans="1:18" x14ac:dyDescent="0.25">
      <c r="A79" s="20" t="s">
        <v>701</v>
      </c>
      <c r="B79" s="9" t="s">
        <v>18</v>
      </c>
      <c r="C79" s="2" t="s">
        <v>8</v>
      </c>
      <c r="D79" s="12">
        <v>5.49</v>
      </c>
      <c r="E79" s="18">
        <v>38.33</v>
      </c>
      <c r="F79" s="29">
        <v>3548</v>
      </c>
      <c r="G79" s="14">
        <v>5354</v>
      </c>
      <c r="H79" s="2">
        <v>42</v>
      </c>
      <c r="I79" s="2">
        <v>1</v>
      </c>
      <c r="J79" s="2" t="s">
        <v>192</v>
      </c>
      <c r="K79" s="2">
        <v>2</v>
      </c>
      <c r="L79" s="2">
        <v>3</v>
      </c>
      <c r="M79" s="16">
        <v>40343</v>
      </c>
      <c r="N79" s="2">
        <v>7</v>
      </c>
      <c r="O79" s="2" t="s">
        <v>196</v>
      </c>
      <c r="P79" s="2" t="s">
        <v>192</v>
      </c>
      <c r="Q79" s="2" t="s">
        <v>192</v>
      </c>
      <c r="R79" s="2">
        <f>SUM(N79,P79)</f>
        <v>7</v>
      </c>
    </row>
    <row r="80" spans="1:18" x14ac:dyDescent="0.25">
      <c r="A80" s="9" t="s">
        <v>652</v>
      </c>
      <c r="B80" s="9" t="s">
        <v>79</v>
      </c>
      <c r="C80" s="2" t="s">
        <v>435</v>
      </c>
      <c r="D80" s="12">
        <v>9.36</v>
      </c>
      <c r="E80" s="18">
        <v>40.71</v>
      </c>
      <c r="F80" s="29">
        <v>7158</v>
      </c>
      <c r="G80" s="14">
        <v>7541</v>
      </c>
      <c r="H80" s="2">
        <v>73</v>
      </c>
      <c r="I80" s="2">
        <v>1</v>
      </c>
      <c r="J80" s="2" t="s">
        <v>192</v>
      </c>
      <c r="K80" s="2">
        <v>3</v>
      </c>
      <c r="L80" s="2">
        <v>4</v>
      </c>
      <c r="M80" s="16">
        <v>42910</v>
      </c>
      <c r="N80" s="2">
        <v>17</v>
      </c>
      <c r="O80" s="2" t="s">
        <v>192</v>
      </c>
      <c r="P80" s="2">
        <v>3</v>
      </c>
      <c r="Q80" s="2" t="s">
        <v>192</v>
      </c>
      <c r="R80" s="2">
        <f>SUM(N80,P80)</f>
        <v>20</v>
      </c>
    </row>
    <row r="81" spans="1:18" x14ac:dyDescent="0.25">
      <c r="A81" s="9" t="s">
        <v>790</v>
      </c>
      <c r="B81" s="9" t="s">
        <v>85</v>
      </c>
      <c r="C81" s="2" t="s">
        <v>435</v>
      </c>
      <c r="D81" s="12">
        <v>8.23</v>
      </c>
      <c r="E81" s="18">
        <v>41.41</v>
      </c>
      <c r="F81" s="29">
        <v>7419</v>
      </c>
      <c r="G81" s="14">
        <v>7489</v>
      </c>
      <c r="H81" s="2">
        <v>61</v>
      </c>
      <c r="I81" s="2">
        <v>1</v>
      </c>
      <c r="J81" s="2" t="s">
        <v>192</v>
      </c>
      <c r="K81" s="2">
        <v>8</v>
      </c>
      <c r="L81" s="2">
        <v>9</v>
      </c>
      <c r="M81" s="16">
        <v>43193</v>
      </c>
      <c r="N81" s="2">
        <v>17</v>
      </c>
      <c r="O81" s="2" t="s">
        <v>196</v>
      </c>
      <c r="P81" s="2">
        <v>2</v>
      </c>
      <c r="Q81" s="2" t="s">
        <v>192</v>
      </c>
      <c r="R81" s="2">
        <f>SUM(N81,P81)</f>
        <v>19</v>
      </c>
    </row>
    <row r="82" spans="1:18" x14ac:dyDescent="0.25">
      <c r="A82" s="9" t="s">
        <v>659</v>
      </c>
      <c r="B82" s="9" t="s">
        <v>84</v>
      </c>
      <c r="C82" s="2" t="s">
        <v>8</v>
      </c>
      <c r="D82" s="12">
        <v>10.23</v>
      </c>
      <c r="E82" s="18">
        <v>41.84</v>
      </c>
      <c r="F82" s="29">
        <v>8402</v>
      </c>
      <c r="G82" s="14">
        <v>9746</v>
      </c>
      <c r="H82" s="2">
        <v>76</v>
      </c>
      <c r="I82" s="2">
        <v>1</v>
      </c>
      <c r="J82" s="2" t="s">
        <v>192</v>
      </c>
      <c r="K82" s="2">
        <v>8</v>
      </c>
      <c r="L82" s="2">
        <v>9</v>
      </c>
      <c r="M82" s="16">
        <v>43076</v>
      </c>
      <c r="N82" s="2">
        <v>16</v>
      </c>
      <c r="O82" s="2" t="s">
        <v>196</v>
      </c>
      <c r="P82" s="2">
        <v>4</v>
      </c>
      <c r="Q82" s="2" t="s">
        <v>192</v>
      </c>
      <c r="R82" s="2">
        <f>SUM(N82,P82)</f>
        <v>20</v>
      </c>
    </row>
    <row r="83" spans="1:18" x14ac:dyDescent="0.25">
      <c r="A83" s="9" t="s">
        <v>650</v>
      </c>
      <c r="B83" s="9" t="s">
        <v>73</v>
      </c>
      <c r="C83" s="2" t="s">
        <v>435</v>
      </c>
      <c r="D83" s="12">
        <v>8.59</v>
      </c>
      <c r="E83" s="18">
        <v>41.26</v>
      </c>
      <c r="F83" s="29">
        <v>6678</v>
      </c>
      <c r="G83" s="14">
        <v>7042</v>
      </c>
      <c r="H83" s="2">
        <v>72</v>
      </c>
      <c r="I83" s="2">
        <v>1</v>
      </c>
      <c r="J83" s="2" t="s">
        <v>192</v>
      </c>
      <c r="K83" s="2">
        <v>4</v>
      </c>
      <c r="L83" s="2">
        <v>5</v>
      </c>
      <c r="M83" s="16">
        <v>42910</v>
      </c>
      <c r="N83" s="2">
        <v>19</v>
      </c>
      <c r="O83" s="2" t="s">
        <v>458</v>
      </c>
      <c r="P83" s="2">
        <v>3</v>
      </c>
      <c r="Q83" s="2" t="s">
        <v>218</v>
      </c>
      <c r="R83" s="2">
        <f>SUM(N83,P83)</f>
        <v>22</v>
      </c>
    </row>
    <row r="84" spans="1:18" x14ac:dyDescent="0.25">
      <c r="A84" s="9" t="s">
        <v>748</v>
      </c>
      <c r="B84" s="9" t="s">
        <v>61</v>
      </c>
      <c r="C84" s="2" t="s">
        <v>435</v>
      </c>
      <c r="D84" s="12">
        <v>7.09</v>
      </c>
      <c r="E84" s="18">
        <v>40.5</v>
      </c>
      <c r="F84" s="29">
        <v>5199</v>
      </c>
      <c r="G84" s="14">
        <v>6159</v>
      </c>
      <c r="H84" s="2">
        <v>76</v>
      </c>
      <c r="I84" s="2">
        <v>1</v>
      </c>
      <c r="J84" s="2" t="s">
        <v>192</v>
      </c>
      <c r="K84" s="2" t="s">
        <v>192</v>
      </c>
      <c r="L84" s="2">
        <v>1</v>
      </c>
      <c r="M84" s="16">
        <v>42271</v>
      </c>
      <c r="N84" s="2">
        <v>16</v>
      </c>
      <c r="O84" s="2" t="s">
        <v>320</v>
      </c>
      <c r="P84" s="2" t="s">
        <v>192</v>
      </c>
      <c r="Q84" s="2" t="s">
        <v>192</v>
      </c>
      <c r="R84" s="2">
        <f>SUM(N84,P84)</f>
        <v>16</v>
      </c>
    </row>
    <row r="85" spans="1:18" x14ac:dyDescent="0.25">
      <c r="A85" s="9" t="s">
        <v>631</v>
      </c>
      <c r="B85" s="9" t="s">
        <v>11</v>
      </c>
      <c r="C85" s="2" t="s">
        <v>8</v>
      </c>
      <c r="D85" s="12">
        <v>9.06</v>
      </c>
      <c r="E85" s="18">
        <v>41.34</v>
      </c>
      <c r="F85" s="29">
        <v>6866</v>
      </c>
      <c r="G85" s="14">
        <v>7564</v>
      </c>
      <c r="H85" s="2">
        <v>84</v>
      </c>
      <c r="I85" s="2">
        <v>1</v>
      </c>
      <c r="J85" s="2" t="s">
        <v>192</v>
      </c>
      <c r="K85" s="2">
        <v>5</v>
      </c>
      <c r="L85" s="2">
        <v>6</v>
      </c>
      <c r="M85" s="16">
        <v>39562</v>
      </c>
      <c r="N85" s="2">
        <v>20</v>
      </c>
      <c r="O85" s="2" t="s">
        <v>461</v>
      </c>
      <c r="P85" s="2">
        <v>3</v>
      </c>
      <c r="Q85" s="2" t="s">
        <v>192</v>
      </c>
      <c r="R85" s="2">
        <f>SUM(N85,P85)</f>
        <v>23</v>
      </c>
    </row>
    <row r="86" spans="1:18" x14ac:dyDescent="0.25">
      <c r="A86" s="9" t="s">
        <v>665</v>
      </c>
      <c r="B86" s="9" t="s">
        <v>434</v>
      </c>
      <c r="C86" s="2" t="s">
        <v>8</v>
      </c>
      <c r="D86" s="12">
        <v>8.65</v>
      </c>
      <c r="E86" s="18">
        <v>41.38</v>
      </c>
      <c r="F86" s="29">
        <v>6776</v>
      </c>
      <c r="G86" s="14">
        <v>7263</v>
      </c>
      <c r="H86" s="2">
        <v>93</v>
      </c>
      <c r="I86" s="2">
        <v>1</v>
      </c>
      <c r="J86" s="2" t="s">
        <v>192</v>
      </c>
      <c r="K86" s="2">
        <v>12</v>
      </c>
      <c r="L86" s="2">
        <v>13</v>
      </c>
      <c r="M86" s="16">
        <v>43844</v>
      </c>
      <c r="N86" s="13">
        <v>18</v>
      </c>
      <c r="O86" s="2" t="s">
        <v>613</v>
      </c>
      <c r="P86" s="2">
        <v>5</v>
      </c>
      <c r="Q86" s="2" t="s">
        <v>612</v>
      </c>
      <c r="R86" s="2">
        <f>SUM(N86,P86)</f>
        <v>23</v>
      </c>
    </row>
    <row r="87" spans="1:18" x14ac:dyDescent="0.25">
      <c r="A87" s="9" t="s">
        <v>786</v>
      </c>
      <c r="B87" s="9" t="s">
        <v>139</v>
      </c>
      <c r="C87" s="2" t="s">
        <v>8</v>
      </c>
      <c r="D87" s="12">
        <v>7.21</v>
      </c>
      <c r="E87" s="18">
        <v>40.799999999999997</v>
      </c>
      <c r="F87" s="29">
        <v>5857</v>
      </c>
      <c r="G87" s="14">
        <v>6112</v>
      </c>
      <c r="H87" s="2">
        <v>73</v>
      </c>
      <c r="I87" s="2">
        <v>1</v>
      </c>
      <c r="J87" s="2" t="s">
        <v>192</v>
      </c>
      <c r="K87" s="2">
        <v>5</v>
      </c>
      <c r="L87" s="2">
        <v>6</v>
      </c>
      <c r="M87" s="16">
        <v>43124</v>
      </c>
      <c r="N87" s="2">
        <v>18</v>
      </c>
      <c r="O87" s="9" t="s">
        <v>584</v>
      </c>
      <c r="P87" s="2" t="s">
        <v>192</v>
      </c>
      <c r="Q87" s="2" t="s">
        <v>192</v>
      </c>
      <c r="R87" s="2">
        <f>SUM(N87,P87)</f>
        <v>18</v>
      </c>
    </row>
    <row r="88" spans="1:18" x14ac:dyDescent="0.25">
      <c r="A88" s="9" t="s">
        <v>791</v>
      </c>
      <c r="B88" s="9" t="s">
        <v>158</v>
      </c>
      <c r="C88" s="2" t="s">
        <v>8</v>
      </c>
      <c r="D88" s="12">
        <v>7.53</v>
      </c>
      <c r="E88" s="18">
        <v>40.39</v>
      </c>
      <c r="F88" s="29">
        <v>6424</v>
      </c>
      <c r="G88" s="14">
        <v>6534</v>
      </c>
      <c r="H88" s="2">
        <v>101</v>
      </c>
      <c r="I88" s="2">
        <v>1</v>
      </c>
      <c r="J88" s="2" t="s">
        <v>192</v>
      </c>
      <c r="K88" s="2">
        <v>7</v>
      </c>
      <c r="L88" s="2">
        <v>8</v>
      </c>
      <c r="M88" s="16">
        <v>43193</v>
      </c>
      <c r="N88" s="2">
        <v>14</v>
      </c>
      <c r="O88" s="9" t="s">
        <v>218</v>
      </c>
      <c r="P88" s="2" t="s">
        <v>192</v>
      </c>
      <c r="Q88" s="2" t="s">
        <v>192</v>
      </c>
      <c r="R88" s="2">
        <f>SUM(N88,P88)</f>
        <v>14</v>
      </c>
    </row>
    <row r="89" spans="1:18" x14ac:dyDescent="0.25">
      <c r="A89" s="9" t="s">
        <v>661</v>
      </c>
      <c r="B89" s="9" t="s">
        <v>153</v>
      </c>
      <c r="C89" s="2" t="s">
        <v>8</v>
      </c>
      <c r="D89" s="12">
        <v>7.34</v>
      </c>
      <c r="E89" s="18">
        <v>41.59</v>
      </c>
      <c r="F89" s="29">
        <v>5889</v>
      </c>
      <c r="G89" s="14">
        <v>6516</v>
      </c>
      <c r="H89" s="2">
        <v>70</v>
      </c>
      <c r="I89" s="2">
        <v>1</v>
      </c>
      <c r="J89" s="2" t="s">
        <v>192</v>
      </c>
      <c r="K89" s="2">
        <v>4</v>
      </c>
      <c r="L89" s="2">
        <v>5</v>
      </c>
      <c r="M89" s="16">
        <v>43157</v>
      </c>
      <c r="N89" s="2">
        <v>13</v>
      </c>
      <c r="O89" s="2" t="s">
        <v>196</v>
      </c>
      <c r="P89" s="2">
        <v>1</v>
      </c>
      <c r="Q89" s="2" t="s">
        <v>192</v>
      </c>
      <c r="R89" s="2">
        <f>SUM(N89,P89)</f>
        <v>14</v>
      </c>
    </row>
    <row r="90" spans="1:18" x14ac:dyDescent="0.25">
      <c r="A90" s="9" t="s">
        <v>658</v>
      </c>
      <c r="B90" s="9" t="s">
        <v>163</v>
      </c>
      <c r="C90" s="2" t="s">
        <v>435</v>
      </c>
      <c r="D90" s="12">
        <v>7.88</v>
      </c>
      <c r="E90" s="18">
        <v>40.549999999999997</v>
      </c>
      <c r="F90" s="29" t="s">
        <v>451</v>
      </c>
      <c r="G90" s="14">
        <v>6753</v>
      </c>
      <c r="H90" s="2">
        <v>88</v>
      </c>
      <c r="I90" s="2">
        <v>1</v>
      </c>
      <c r="J90" s="2" t="s">
        <v>192</v>
      </c>
      <c r="K90" s="2">
        <v>9</v>
      </c>
      <c r="L90" s="2">
        <v>10</v>
      </c>
      <c r="M90" s="16">
        <v>42910</v>
      </c>
      <c r="N90" s="2">
        <v>14</v>
      </c>
      <c r="O90" s="2" t="s">
        <v>534</v>
      </c>
      <c r="P90" s="2">
        <v>4</v>
      </c>
      <c r="Q90" s="2" t="s">
        <v>218</v>
      </c>
      <c r="R90" s="2">
        <f>SUM(N90,P90)</f>
        <v>18</v>
      </c>
    </row>
    <row r="91" spans="1:18" x14ac:dyDescent="0.25">
      <c r="A91" s="9" t="s">
        <v>644</v>
      </c>
      <c r="B91" s="9" t="s">
        <v>132</v>
      </c>
      <c r="C91" s="2" t="s">
        <v>8</v>
      </c>
      <c r="D91" s="12">
        <v>6.99</v>
      </c>
      <c r="E91" s="18">
        <v>40.549999999999997</v>
      </c>
      <c r="F91" s="29">
        <v>5679</v>
      </c>
      <c r="G91" s="14">
        <v>6004</v>
      </c>
      <c r="H91" s="2">
        <v>64</v>
      </c>
      <c r="I91" s="2">
        <v>1</v>
      </c>
      <c r="J91" s="2" t="s">
        <v>192</v>
      </c>
      <c r="K91" s="2">
        <v>2</v>
      </c>
      <c r="L91" s="2">
        <v>3</v>
      </c>
      <c r="M91" s="16">
        <v>42326</v>
      </c>
      <c r="N91" s="2">
        <v>15</v>
      </c>
      <c r="O91" s="2" t="s">
        <v>534</v>
      </c>
      <c r="P91" s="2">
        <v>3</v>
      </c>
      <c r="Q91" s="2" t="s">
        <v>192</v>
      </c>
      <c r="R91" s="2">
        <f>SUM(N91,P91)</f>
        <v>18</v>
      </c>
    </row>
    <row r="92" spans="1:18" x14ac:dyDescent="0.25">
      <c r="A92" s="9" t="s">
        <v>782</v>
      </c>
      <c r="B92" s="9" t="s">
        <v>166</v>
      </c>
      <c r="C92" s="2" t="s">
        <v>435</v>
      </c>
      <c r="D92" s="12">
        <v>8.59</v>
      </c>
      <c r="E92" s="18">
        <v>41.18</v>
      </c>
      <c r="F92" s="29">
        <v>6607</v>
      </c>
      <c r="G92" s="14">
        <v>6994</v>
      </c>
      <c r="H92" s="2">
        <v>73</v>
      </c>
      <c r="I92" s="2">
        <v>1</v>
      </c>
      <c r="J92" s="2" t="s">
        <v>192</v>
      </c>
      <c r="K92" s="2">
        <v>1</v>
      </c>
      <c r="L92" s="2">
        <v>2</v>
      </c>
      <c r="M92" s="16">
        <v>42910</v>
      </c>
      <c r="N92" s="2">
        <v>33</v>
      </c>
      <c r="O92" s="2" t="s">
        <v>196</v>
      </c>
      <c r="P92" s="2">
        <v>1</v>
      </c>
      <c r="Q92" s="2" t="s">
        <v>192</v>
      </c>
      <c r="R92" s="2">
        <f>SUM(N92,P92)</f>
        <v>34</v>
      </c>
    </row>
    <row r="93" spans="1:18" x14ac:dyDescent="0.25">
      <c r="A93" s="9" t="s">
        <v>713</v>
      </c>
      <c r="B93" s="9" t="s">
        <v>103</v>
      </c>
      <c r="C93" s="2" t="s">
        <v>8</v>
      </c>
      <c r="D93" s="12">
        <v>6.33</v>
      </c>
      <c r="E93" s="18">
        <v>40.4</v>
      </c>
      <c r="F93" s="29">
        <v>5176</v>
      </c>
      <c r="G93" s="14">
        <v>5449</v>
      </c>
      <c r="H93" s="2">
        <v>79</v>
      </c>
      <c r="I93" s="2">
        <v>1</v>
      </c>
      <c r="J93" s="2" t="s">
        <v>192</v>
      </c>
      <c r="K93" s="2" t="s">
        <v>192</v>
      </c>
      <c r="L93" s="2">
        <v>1</v>
      </c>
      <c r="M93" s="16">
        <v>41247</v>
      </c>
      <c r="N93" s="2">
        <v>12</v>
      </c>
      <c r="O93" s="2" t="s">
        <v>192</v>
      </c>
      <c r="P93" s="2" t="s">
        <v>192</v>
      </c>
      <c r="Q93" s="2" t="s">
        <v>192</v>
      </c>
      <c r="R93" s="2">
        <f>SUM(N93,P93)</f>
        <v>12</v>
      </c>
    </row>
    <row r="94" spans="1:18" x14ac:dyDescent="0.25">
      <c r="A94" s="9" t="s">
        <v>667</v>
      </c>
      <c r="B94" s="9" t="s">
        <v>35</v>
      </c>
      <c r="C94" s="2" t="s">
        <v>8</v>
      </c>
      <c r="D94" s="12">
        <v>7.21</v>
      </c>
      <c r="E94" s="18">
        <v>41.22</v>
      </c>
      <c r="F94" s="29">
        <v>5757</v>
      </c>
      <c r="G94" s="14">
        <v>6129</v>
      </c>
      <c r="H94" s="2">
        <v>70</v>
      </c>
      <c r="I94" s="2">
        <v>1</v>
      </c>
      <c r="J94" s="2" t="s">
        <v>192</v>
      </c>
      <c r="K94" s="2">
        <v>6</v>
      </c>
      <c r="L94" s="2">
        <v>7</v>
      </c>
      <c r="M94" s="16">
        <v>37223</v>
      </c>
      <c r="N94" s="2">
        <v>13</v>
      </c>
      <c r="O94" s="2" t="s">
        <v>196</v>
      </c>
      <c r="P94" s="2">
        <v>1</v>
      </c>
      <c r="Q94" s="2" t="s">
        <v>192</v>
      </c>
      <c r="R94" s="2">
        <f>SUM(N94,P94)</f>
        <v>14</v>
      </c>
    </row>
    <row r="95" spans="1:18" x14ac:dyDescent="0.25">
      <c r="A95" s="9" t="s">
        <v>712</v>
      </c>
      <c r="B95" s="9" t="s">
        <v>122</v>
      </c>
      <c r="C95" s="2" t="s">
        <v>8</v>
      </c>
      <c r="D95" s="12">
        <v>6.72</v>
      </c>
      <c r="E95" s="18">
        <v>41.5</v>
      </c>
      <c r="F95" s="29">
        <v>5352</v>
      </c>
      <c r="G95" s="14">
        <v>5639</v>
      </c>
      <c r="H95" s="2">
        <v>60</v>
      </c>
      <c r="I95" s="2">
        <v>1</v>
      </c>
      <c r="J95" s="2" t="s">
        <v>192</v>
      </c>
      <c r="K95" s="2">
        <v>2</v>
      </c>
      <c r="L95" s="2">
        <v>3</v>
      </c>
      <c r="M95" s="16">
        <v>41247</v>
      </c>
      <c r="N95" s="2">
        <v>15</v>
      </c>
      <c r="O95" s="32" t="s">
        <v>499</v>
      </c>
      <c r="P95" s="2" t="s">
        <v>192</v>
      </c>
      <c r="Q95" s="2" t="s">
        <v>192</v>
      </c>
      <c r="R95" s="2">
        <f>SUM(N95,P95)</f>
        <v>15</v>
      </c>
    </row>
    <row r="96" spans="1:18" x14ac:dyDescent="0.25">
      <c r="A96" s="9" t="s">
        <v>787</v>
      </c>
      <c r="B96" s="9" t="s">
        <v>147</v>
      </c>
      <c r="C96" s="2" t="s">
        <v>8</v>
      </c>
      <c r="D96" s="12">
        <v>8.9</v>
      </c>
      <c r="E96" s="18">
        <v>41.35</v>
      </c>
      <c r="F96" s="29">
        <v>6978</v>
      </c>
      <c r="G96" s="14">
        <v>7658</v>
      </c>
      <c r="H96" s="2">
        <v>114</v>
      </c>
      <c r="I96" s="2">
        <v>1</v>
      </c>
      <c r="J96" s="2" t="s">
        <v>192</v>
      </c>
      <c r="K96" s="2">
        <v>10</v>
      </c>
      <c r="L96" s="2">
        <v>11</v>
      </c>
      <c r="M96" s="16">
        <v>43157</v>
      </c>
      <c r="N96" s="2">
        <v>18</v>
      </c>
      <c r="O96" s="2" t="s">
        <v>587</v>
      </c>
      <c r="P96" s="2">
        <v>1</v>
      </c>
      <c r="Q96" s="2" t="s">
        <v>192</v>
      </c>
      <c r="R96" s="2">
        <f>SUM(N96,P96)</f>
        <v>19</v>
      </c>
    </row>
    <row r="97" spans="1:18" x14ac:dyDescent="0.25">
      <c r="A97" s="19" t="s">
        <v>931</v>
      </c>
      <c r="B97" s="9" t="s">
        <v>86</v>
      </c>
      <c r="C97" s="2" t="s">
        <v>8</v>
      </c>
      <c r="D97" s="12">
        <v>6.68</v>
      </c>
      <c r="E97" s="18">
        <v>41.58</v>
      </c>
      <c r="F97" s="29">
        <v>5368</v>
      </c>
      <c r="G97" s="14">
        <v>5916</v>
      </c>
      <c r="H97" s="2">
        <v>66</v>
      </c>
      <c r="I97" s="2">
        <v>1</v>
      </c>
      <c r="J97" s="2" t="s">
        <v>192</v>
      </c>
      <c r="K97" s="2">
        <v>4</v>
      </c>
      <c r="L97" s="2">
        <v>5</v>
      </c>
      <c r="M97" s="16">
        <v>43347</v>
      </c>
      <c r="N97" s="2">
        <v>8</v>
      </c>
      <c r="O97" s="2" t="s">
        <v>196</v>
      </c>
      <c r="P97" s="2">
        <v>1</v>
      </c>
      <c r="Q97" s="2" t="s">
        <v>192</v>
      </c>
      <c r="R97" s="2">
        <f>SUM(N97,P97)</f>
        <v>9</v>
      </c>
    </row>
    <row r="98" spans="1:18" x14ac:dyDescent="0.25">
      <c r="A98" s="9" t="s">
        <v>664</v>
      </c>
      <c r="B98" s="9" t="s">
        <v>431</v>
      </c>
      <c r="C98" s="2" t="s">
        <v>8</v>
      </c>
      <c r="D98" s="12">
        <v>9.52</v>
      </c>
      <c r="E98" s="18">
        <v>41.3</v>
      </c>
      <c r="F98" s="29">
        <v>7590</v>
      </c>
      <c r="G98" s="14">
        <v>8625</v>
      </c>
      <c r="H98" s="2">
        <v>73</v>
      </c>
      <c r="I98" s="2">
        <v>2</v>
      </c>
      <c r="J98" s="2" t="s">
        <v>192</v>
      </c>
      <c r="K98" s="2">
        <v>7</v>
      </c>
      <c r="L98" s="2">
        <v>9</v>
      </c>
      <c r="M98" s="16">
        <v>43766</v>
      </c>
      <c r="N98" s="13">
        <v>13</v>
      </c>
      <c r="O98" s="2" t="s">
        <v>196</v>
      </c>
      <c r="P98" s="2">
        <v>3</v>
      </c>
      <c r="Q98" s="2" t="s">
        <v>192</v>
      </c>
      <c r="R98" s="2">
        <f>SUM(N98,P98)</f>
        <v>16</v>
      </c>
    </row>
    <row r="99" spans="1:18" x14ac:dyDescent="0.25">
      <c r="A99" s="9" t="s">
        <v>67</v>
      </c>
      <c r="B99" s="9" t="s">
        <v>68</v>
      </c>
      <c r="C99" s="2" t="s">
        <v>8</v>
      </c>
      <c r="D99" s="12">
        <v>7.9</v>
      </c>
      <c r="E99" s="18">
        <v>42.6</v>
      </c>
      <c r="F99" s="29">
        <v>6195</v>
      </c>
      <c r="G99" s="14">
        <v>6596</v>
      </c>
      <c r="H99" s="2">
        <v>44</v>
      </c>
      <c r="I99" s="2">
        <v>1</v>
      </c>
      <c r="J99" s="2" t="s">
        <v>192</v>
      </c>
      <c r="K99" s="2">
        <v>2</v>
      </c>
      <c r="L99" s="2">
        <v>3</v>
      </c>
      <c r="M99" s="16">
        <v>42888</v>
      </c>
      <c r="N99" s="2">
        <v>18</v>
      </c>
      <c r="O99" s="9" t="s">
        <v>196</v>
      </c>
      <c r="P99" s="2" t="s">
        <v>192</v>
      </c>
      <c r="Q99" s="2" t="s">
        <v>192</v>
      </c>
      <c r="R99" s="2">
        <f>SUM(N99,P99)</f>
        <v>18</v>
      </c>
    </row>
    <row r="100" spans="1:18" x14ac:dyDescent="0.25">
      <c r="A100" s="9" t="s">
        <v>714</v>
      </c>
      <c r="B100" s="9" t="s">
        <v>29</v>
      </c>
      <c r="C100" s="2" t="s">
        <v>8</v>
      </c>
      <c r="D100" s="12">
        <v>7.8</v>
      </c>
      <c r="E100" s="18">
        <v>47.61</v>
      </c>
      <c r="F100" s="29">
        <v>5783</v>
      </c>
      <c r="G100" s="14">
        <v>6061</v>
      </c>
      <c r="H100" s="2">
        <v>67</v>
      </c>
      <c r="I100" s="2">
        <v>1</v>
      </c>
      <c r="J100" s="2" t="s">
        <v>192</v>
      </c>
      <c r="K100" s="2">
        <v>2</v>
      </c>
      <c r="L100" s="2">
        <v>3</v>
      </c>
      <c r="M100" s="16">
        <v>41248</v>
      </c>
      <c r="N100" s="2">
        <v>9</v>
      </c>
      <c r="O100" s="2" t="s">
        <v>192</v>
      </c>
      <c r="P100" s="2">
        <v>1</v>
      </c>
      <c r="Q100" s="2" t="s">
        <v>192</v>
      </c>
      <c r="R100" s="2">
        <f>SUM(N100,P100)</f>
        <v>10</v>
      </c>
    </row>
    <row r="101" spans="1:18" x14ac:dyDescent="0.25">
      <c r="A101" s="9" t="s">
        <v>721</v>
      </c>
      <c r="B101" s="9" t="s">
        <v>53</v>
      </c>
      <c r="C101" s="2" t="s">
        <v>8</v>
      </c>
      <c r="D101" s="12">
        <v>8.27</v>
      </c>
      <c r="E101" s="18">
        <v>45.81</v>
      </c>
      <c r="F101" s="29">
        <v>6200</v>
      </c>
      <c r="G101" s="14">
        <v>6896</v>
      </c>
      <c r="H101" s="2">
        <v>74</v>
      </c>
      <c r="I101" s="2">
        <v>1</v>
      </c>
      <c r="J101" s="2" t="s">
        <v>192</v>
      </c>
      <c r="K101" s="2">
        <v>5</v>
      </c>
      <c r="L101" s="2">
        <v>6</v>
      </c>
      <c r="M101" s="16">
        <v>41249</v>
      </c>
      <c r="N101" s="2">
        <v>7</v>
      </c>
      <c r="O101" s="2" t="s">
        <v>511</v>
      </c>
      <c r="P101" s="2" t="s">
        <v>192</v>
      </c>
      <c r="Q101" s="2" t="s">
        <v>192</v>
      </c>
      <c r="R101" s="2">
        <f>SUM(N101,P101)</f>
        <v>7</v>
      </c>
    </row>
    <row r="102" spans="1:18" x14ac:dyDescent="0.25">
      <c r="A102" s="9" t="s">
        <v>19</v>
      </c>
      <c r="B102" s="9" t="s">
        <v>20</v>
      </c>
      <c r="C102" s="2" t="s">
        <v>435</v>
      </c>
      <c r="D102" s="12">
        <v>5.53</v>
      </c>
      <c r="E102" s="18">
        <v>47.5</v>
      </c>
      <c r="F102" s="29">
        <v>9525</v>
      </c>
      <c r="G102" s="14">
        <v>10026</v>
      </c>
      <c r="H102" s="2">
        <v>88</v>
      </c>
      <c r="I102" s="2">
        <v>1</v>
      </c>
      <c r="J102" s="2" t="s">
        <v>192</v>
      </c>
      <c r="K102" s="2" t="s">
        <v>192</v>
      </c>
      <c r="L102" s="2">
        <v>1</v>
      </c>
      <c r="M102" s="16">
        <v>41218</v>
      </c>
      <c r="N102" s="2">
        <v>5</v>
      </c>
      <c r="O102" s="2" t="s">
        <v>192</v>
      </c>
      <c r="P102" s="2" t="s">
        <v>192</v>
      </c>
      <c r="Q102" s="2" t="s">
        <v>192</v>
      </c>
      <c r="R102" s="2">
        <f>SUM(N102,P102)</f>
        <v>5</v>
      </c>
    </row>
    <row r="103" spans="1:18" x14ac:dyDescent="0.25">
      <c r="A103" s="9" t="s">
        <v>662</v>
      </c>
      <c r="B103" s="9" t="s">
        <v>107</v>
      </c>
      <c r="C103" s="2" t="s">
        <v>8</v>
      </c>
      <c r="D103" s="12">
        <v>5.08</v>
      </c>
      <c r="E103" s="18">
        <v>39.64</v>
      </c>
      <c r="F103" s="29">
        <v>4492</v>
      </c>
      <c r="G103" s="14">
        <v>4547</v>
      </c>
      <c r="H103" s="2">
        <v>43</v>
      </c>
      <c r="I103" s="2">
        <v>1</v>
      </c>
      <c r="J103" s="2" t="s">
        <v>192</v>
      </c>
      <c r="K103" s="2">
        <v>4</v>
      </c>
      <c r="L103" s="2">
        <v>5</v>
      </c>
      <c r="M103" s="16">
        <v>43193</v>
      </c>
      <c r="N103" s="2">
        <v>8</v>
      </c>
      <c r="O103" s="2" t="s">
        <v>593</v>
      </c>
      <c r="P103" s="2">
        <v>2</v>
      </c>
      <c r="Q103" s="2" t="s">
        <v>192</v>
      </c>
      <c r="R103" s="2">
        <f>SUM(N103,P103)</f>
        <v>10</v>
      </c>
    </row>
    <row r="104" spans="1:18" x14ac:dyDescent="0.25">
      <c r="A104" s="9" t="s">
        <v>641</v>
      </c>
      <c r="B104" s="9" t="s">
        <v>24</v>
      </c>
      <c r="C104" s="2" t="s">
        <v>435</v>
      </c>
      <c r="D104" s="12">
        <v>5.05</v>
      </c>
      <c r="E104" s="18">
        <v>39.549999999999997</v>
      </c>
      <c r="F104" s="29">
        <v>4213</v>
      </c>
      <c r="G104" s="14">
        <v>4528</v>
      </c>
      <c r="H104" s="2">
        <v>40</v>
      </c>
      <c r="I104" s="2">
        <v>1</v>
      </c>
      <c r="J104" s="2" t="s">
        <v>192</v>
      </c>
      <c r="K104" s="2">
        <v>5</v>
      </c>
      <c r="L104" s="2">
        <v>6</v>
      </c>
      <c r="M104" s="16">
        <v>41810</v>
      </c>
      <c r="N104" s="2">
        <v>9</v>
      </c>
      <c r="O104" s="9" t="s">
        <v>521</v>
      </c>
      <c r="P104" s="2">
        <v>2</v>
      </c>
      <c r="Q104" s="2" t="s">
        <v>192</v>
      </c>
      <c r="R104" s="2">
        <f>SUM(N104,P104)</f>
        <v>11</v>
      </c>
    </row>
    <row r="105" spans="1:18" x14ac:dyDescent="0.25">
      <c r="A105" s="9" t="s">
        <v>716</v>
      </c>
      <c r="B105" s="9" t="s">
        <v>41</v>
      </c>
      <c r="C105" s="2" t="s">
        <v>8</v>
      </c>
      <c r="D105" s="12">
        <v>4.99</v>
      </c>
      <c r="E105" s="18">
        <v>45.2</v>
      </c>
      <c r="F105" s="29">
        <v>4226</v>
      </c>
      <c r="G105" s="14">
        <v>4553</v>
      </c>
      <c r="H105" s="2">
        <v>42</v>
      </c>
      <c r="I105" s="2">
        <v>1</v>
      </c>
      <c r="J105" s="2" t="s">
        <v>192</v>
      </c>
      <c r="K105" s="2" t="s">
        <v>192</v>
      </c>
      <c r="L105" s="2">
        <v>1</v>
      </c>
      <c r="M105" s="16">
        <v>41248</v>
      </c>
      <c r="N105" s="2">
        <v>11</v>
      </c>
      <c r="O105" s="2" t="s">
        <v>192</v>
      </c>
      <c r="P105" s="2" t="s">
        <v>192</v>
      </c>
      <c r="Q105" s="2" t="s">
        <v>192</v>
      </c>
      <c r="R105" s="2">
        <f>SUM(N105,P105)</f>
        <v>11</v>
      </c>
    </row>
    <row r="106" spans="1:18" x14ac:dyDescent="0.25">
      <c r="A106" s="9" t="s">
        <v>686</v>
      </c>
      <c r="B106" s="9" t="s">
        <v>149</v>
      </c>
      <c r="C106" s="2" t="s">
        <v>8</v>
      </c>
      <c r="D106" s="12">
        <v>1.67</v>
      </c>
      <c r="E106" s="18">
        <v>31.3</v>
      </c>
      <c r="F106" s="29">
        <v>1787</v>
      </c>
      <c r="G106" s="14">
        <v>1844</v>
      </c>
      <c r="H106" s="2">
        <v>38</v>
      </c>
      <c r="I106" s="2">
        <v>1</v>
      </c>
      <c r="J106" s="2" t="s">
        <v>192</v>
      </c>
      <c r="K106" s="2" t="s">
        <v>192</v>
      </c>
      <c r="L106" s="2">
        <v>1</v>
      </c>
      <c r="M106" s="16">
        <v>39101</v>
      </c>
      <c r="N106" s="2">
        <v>4</v>
      </c>
      <c r="O106" s="2" t="s">
        <v>192</v>
      </c>
      <c r="P106" s="2" t="s">
        <v>192</v>
      </c>
      <c r="Q106" s="2" t="s">
        <v>192</v>
      </c>
      <c r="R106" s="2">
        <f>SUM(N106,P106)</f>
        <v>4</v>
      </c>
    </row>
    <row r="107" spans="1:18" x14ac:dyDescent="0.25">
      <c r="A107" s="9" t="s">
        <v>693</v>
      </c>
      <c r="B107" s="9" t="s">
        <v>160</v>
      </c>
      <c r="C107" s="2" t="s">
        <v>435</v>
      </c>
      <c r="D107" s="12">
        <v>1.69</v>
      </c>
      <c r="E107" s="18">
        <v>38</v>
      </c>
      <c r="F107" s="29">
        <v>1747</v>
      </c>
      <c r="G107" s="14">
        <v>1816</v>
      </c>
      <c r="H107" s="2">
        <v>40</v>
      </c>
      <c r="I107" s="2">
        <v>1</v>
      </c>
      <c r="J107" s="2" t="s">
        <v>192</v>
      </c>
      <c r="K107" s="2" t="s">
        <v>192</v>
      </c>
      <c r="L107" s="2">
        <v>1</v>
      </c>
      <c r="M107" s="16">
        <v>39399</v>
      </c>
      <c r="N107" s="2">
        <v>5</v>
      </c>
      <c r="O107" s="2" t="s">
        <v>192</v>
      </c>
      <c r="P107" s="2" t="s">
        <v>192</v>
      </c>
      <c r="Q107" s="2" t="s">
        <v>192</v>
      </c>
      <c r="R107" s="2">
        <f>SUM(N107,P107)</f>
        <v>5</v>
      </c>
    </row>
    <row r="108" spans="1:18" x14ac:dyDescent="0.25">
      <c r="A108" s="9" t="s">
        <v>692</v>
      </c>
      <c r="B108" s="9" t="s">
        <v>172</v>
      </c>
      <c r="C108" s="2" t="s">
        <v>8</v>
      </c>
      <c r="D108" s="12">
        <v>1.74</v>
      </c>
      <c r="E108" s="18">
        <v>31.1</v>
      </c>
      <c r="F108" s="29">
        <v>1983</v>
      </c>
      <c r="G108" s="14">
        <v>2055</v>
      </c>
      <c r="H108" s="2">
        <v>36</v>
      </c>
      <c r="I108" s="2">
        <v>1</v>
      </c>
      <c r="J108" s="2" t="s">
        <v>192</v>
      </c>
      <c r="K108" s="2" t="s">
        <v>192</v>
      </c>
      <c r="L108" s="2">
        <v>1</v>
      </c>
      <c r="M108" s="16">
        <v>39345</v>
      </c>
      <c r="N108" s="2">
        <v>5</v>
      </c>
      <c r="O108" s="2" t="s">
        <v>192</v>
      </c>
      <c r="P108" s="2" t="s">
        <v>192</v>
      </c>
      <c r="Q108" s="2" t="s">
        <v>192</v>
      </c>
      <c r="R108" s="2">
        <f>SUM(N108,P108)</f>
        <v>5</v>
      </c>
    </row>
    <row r="109" spans="1:18" x14ac:dyDescent="0.25">
      <c r="A109" s="9" t="s">
        <v>690</v>
      </c>
      <c r="B109" s="9" t="s">
        <v>169</v>
      </c>
      <c r="C109" s="2" t="s">
        <v>8</v>
      </c>
      <c r="D109" s="12">
        <v>1.64</v>
      </c>
      <c r="E109" s="18">
        <v>31.3</v>
      </c>
      <c r="F109" s="29">
        <v>1785</v>
      </c>
      <c r="G109" s="14">
        <v>1839</v>
      </c>
      <c r="H109" s="2">
        <v>37</v>
      </c>
      <c r="I109" s="2">
        <v>1</v>
      </c>
      <c r="J109" s="2" t="s">
        <v>192</v>
      </c>
      <c r="K109" s="2" t="s">
        <v>192</v>
      </c>
      <c r="L109" s="2">
        <v>1</v>
      </c>
      <c r="M109" s="16">
        <v>39146</v>
      </c>
      <c r="N109" s="2">
        <v>4</v>
      </c>
      <c r="O109" s="2" t="s">
        <v>192</v>
      </c>
      <c r="P109" s="2" t="s">
        <v>192</v>
      </c>
      <c r="Q109" s="2" t="s">
        <v>192</v>
      </c>
      <c r="R109" s="2">
        <f>SUM(N109,P109)</f>
        <v>4</v>
      </c>
    </row>
    <row r="110" spans="1:18" x14ac:dyDescent="0.25">
      <c r="A110" s="9" t="s">
        <v>689</v>
      </c>
      <c r="B110" s="9" t="s">
        <v>187</v>
      </c>
      <c r="C110" s="2" t="s">
        <v>8</v>
      </c>
      <c r="D110" s="12">
        <v>2.68</v>
      </c>
      <c r="E110" s="18">
        <v>50</v>
      </c>
      <c r="F110" s="29">
        <v>2997</v>
      </c>
      <c r="G110" s="14">
        <v>3136</v>
      </c>
      <c r="H110" s="2">
        <v>43</v>
      </c>
      <c r="I110" s="2">
        <v>1</v>
      </c>
      <c r="J110" s="2" t="s">
        <v>192</v>
      </c>
      <c r="K110" s="2" t="s">
        <v>192</v>
      </c>
      <c r="L110" s="2">
        <v>1</v>
      </c>
      <c r="M110" s="16">
        <v>39104</v>
      </c>
      <c r="N110" s="2">
        <v>22</v>
      </c>
      <c r="O110" s="2" t="s">
        <v>192</v>
      </c>
      <c r="P110" s="2" t="s">
        <v>192</v>
      </c>
      <c r="Q110" s="2" t="s">
        <v>192</v>
      </c>
      <c r="R110" s="2">
        <f>SUM(N110,P110)</f>
        <v>22</v>
      </c>
    </row>
    <row r="111" spans="1:18" x14ac:dyDescent="0.25">
      <c r="A111" s="9" t="s">
        <v>680</v>
      </c>
      <c r="B111" s="9" t="s">
        <v>137</v>
      </c>
      <c r="C111" s="2" t="s">
        <v>8</v>
      </c>
      <c r="D111" s="12">
        <v>1.71</v>
      </c>
      <c r="E111" s="18">
        <v>31.2</v>
      </c>
      <c r="F111" s="29">
        <v>1817</v>
      </c>
      <c r="G111" s="14">
        <v>1868</v>
      </c>
      <c r="H111" s="2">
        <v>38</v>
      </c>
      <c r="I111" s="2">
        <v>1</v>
      </c>
      <c r="J111" s="2" t="s">
        <v>192</v>
      </c>
      <c r="K111" s="2" t="s">
        <v>192</v>
      </c>
      <c r="L111" s="2">
        <v>1</v>
      </c>
      <c r="M111" s="16">
        <v>38658</v>
      </c>
      <c r="N111" s="2">
        <v>4</v>
      </c>
      <c r="O111" s="2" t="s">
        <v>192</v>
      </c>
      <c r="P111" s="2" t="s">
        <v>192</v>
      </c>
      <c r="Q111" s="2" t="s">
        <v>192</v>
      </c>
      <c r="R111" s="2">
        <f>SUM(N111,P111)</f>
        <v>4</v>
      </c>
    </row>
    <row r="112" spans="1:18" x14ac:dyDescent="0.25">
      <c r="A112" s="9" t="s">
        <v>672</v>
      </c>
      <c r="B112" s="9" t="s">
        <v>115</v>
      </c>
      <c r="C112" s="2" t="s">
        <v>8</v>
      </c>
      <c r="D112" s="12">
        <v>2.41</v>
      </c>
      <c r="E112" s="18">
        <v>50.7</v>
      </c>
      <c r="F112" s="29">
        <v>2321</v>
      </c>
      <c r="G112" s="14">
        <v>2430</v>
      </c>
      <c r="H112" s="2">
        <v>44</v>
      </c>
      <c r="I112" s="2">
        <v>1</v>
      </c>
      <c r="J112" s="2" t="s">
        <v>192</v>
      </c>
      <c r="K112" s="2" t="s">
        <v>192</v>
      </c>
      <c r="L112" s="2">
        <v>1</v>
      </c>
      <c r="M112" s="16">
        <v>37847</v>
      </c>
      <c r="N112" s="2">
        <v>16</v>
      </c>
      <c r="O112" s="2" t="s">
        <v>192</v>
      </c>
      <c r="P112" s="2" t="s">
        <v>192</v>
      </c>
      <c r="Q112" s="2" t="s">
        <v>192</v>
      </c>
      <c r="R112" s="2">
        <f>SUM(N112,P112)</f>
        <v>16</v>
      </c>
    </row>
    <row r="113" spans="1:18" x14ac:dyDescent="0.25">
      <c r="A113" s="9" t="s">
        <v>687</v>
      </c>
      <c r="B113" s="9" t="s">
        <v>150</v>
      </c>
      <c r="C113" s="2" t="s">
        <v>8</v>
      </c>
      <c r="D113" s="12">
        <v>1.7</v>
      </c>
      <c r="E113" s="18">
        <v>30.8</v>
      </c>
      <c r="F113" s="29">
        <v>1792</v>
      </c>
      <c r="G113" s="14">
        <v>1856</v>
      </c>
      <c r="H113" s="2">
        <v>37</v>
      </c>
      <c r="I113" s="2">
        <v>1</v>
      </c>
      <c r="J113" s="2" t="s">
        <v>192</v>
      </c>
      <c r="K113" s="2" t="s">
        <v>192</v>
      </c>
      <c r="L113" s="2">
        <v>1</v>
      </c>
      <c r="M113" s="16">
        <v>39101</v>
      </c>
      <c r="N113" s="32">
        <v>5</v>
      </c>
      <c r="O113" s="2" t="s">
        <v>192</v>
      </c>
      <c r="P113" s="2" t="s">
        <v>192</v>
      </c>
      <c r="Q113" s="2" t="s">
        <v>192</v>
      </c>
      <c r="R113" s="2">
        <f>SUM(N113,P113)</f>
        <v>5</v>
      </c>
    </row>
    <row r="114" spans="1:18" x14ac:dyDescent="0.25">
      <c r="A114" s="9" t="s">
        <v>688</v>
      </c>
      <c r="B114" s="9" t="s">
        <v>168</v>
      </c>
      <c r="C114" s="2" t="s">
        <v>8</v>
      </c>
      <c r="D114" s="12">
        <v>1.86</v>
      </c>
      <c r="E114" s="18">
        <v>35</v>
      </c>
      <c r="F114" s="29">
        <v>1999</v>
      </c>
      <c r="G114" s="14">
        <v>2059</v>
      </c>
      <c r="H114" s="2">
        <v>38</v>
      </c>
      <c r="I114" s="2">
        <v>1</v>
      </c>
      <c r="J114" s="2" t="s">
        <v>192</v>
      </c>
      <c r="K114" s="2" t="s">
        <v>192</v>
      </c>
      <c r="L114" s="2">
        <v>1</v>
      </c>
      <c r="M114" s="16">
        <v>39104</v>
      </c>
      <c r="N114" s="2">
        <v>5</v>
      </c>
      <c r="O114" s="2" t="s">
        <v>192</v>
      </c>
      <c r="P114" s="2" t="s">
        <v>192</v>
      </c>
      <c r="Q114" s="2" t="s">
        <v>192</v>
      </c>
      <c r="R114" s="2">
        <f>SUM(N114,P114)</f>
        <v>5</v>
      </c>
    </row>
    <row r="115" spans="1:18" x14ac:dyDescent="0.25">
      <c r="A115" s="9" t="s">
        <v>676</v>
      </c>
      <c r="B115" s="9" t="s">
        <v>136</v>
      </c>
      <c r="C115" s="2" t="s">
        <v>8</v>
      </c>
      <c r="D115" s="12">
        <v>1.84</v>
      </c>
      <c r="E115" s="18">
        <v>35.1</v>
      </c>
      <c r="F115" s="29">
        <v>1953</v>
      </c>
      <c r="G115" s="14">
        <v>2010</v>
      </c>
      <c r="H115" s="2">
        <v>39</v>
      </c>
      <c r="I115" s="2">
        <v>1</v>
      </c>
      <c r="J115" s="2" t="s">
        <v>192</v>
      </c>
      <c r="K115" s="2" t="s">
        <v>192</v>
      </c>
      <c r="L115" s="2">
        <v>1</v>
      </c>
      <c r="M115" s="16">
        <v>38573</v>
      </c>
      <c r="N115" s="2">
        <v>5</v>
      </c>
      <c r="O115" s="2" t="s">
        <v>192</v>
      </c>
      <c r="P115" s="2" t="s">
        <v>192</v>
      </c>
      <c r="Q115" s="2" t="s">
        <v>192</v>
      </c>
      <c r="R115" s="2">
        <f>SUM(N115,P115)</f>
        <v>5</v>
      </c>
    </row>
    <row r="116" spans="1:18" x14ac:dyDescent="0.25">
      <c r="A116" s="9" t="s">
        <v>670</v>
      </c>
      <c r="B116" s="9" t="s">
        <v>7</v>
      </c>
      <c r="C116" s="2" t="s">
        <v>8</v>
      </c>
      <c r="D116" s="12">
        <v>1.75</v>
      </c>
      <c r="E116" s="18">
        <v>36.4</v>
      </c>
      <c r="F116" s="29">
        <v>1882</v>
      </c>
      <c r="G116" s="14">
        <v>1930</v>
      </c>
      <c r="H116" s="2">
        <v>40</v>
      </c>
      <c r="I116" s="2">
        <v>1</v>
      </c>
      <c r="J116" s="2" t="s">
        <v>192</v>
      </c>
      <c r="K116" s="2" t="s">
        <v>192</v>
      </c>
      <c r="L116" s="2">
        <v>1</v>
      </c>
      <c r="M116" s="16">
        <v>37827</v>
      </c>
      <c r="N116" s="2">
        <v>4</v>
      </c>
      <c r="O116" s="2" t="s">
        <v>192</v>
      </c>
      <c r="P116" s="2" t="s">
        <v>192</v>
      </c>
      <c r="Q116" s="2" t="s">
        <v>192</v>
      </c>
      <c r="R116" s="2">
        <f>SUM(N116,P116)</f>
        <v>4</v>
      </c>
    </row>
    <row r="117" spans="1:18" x14ac:dyDescent="0.25">
      <c r="A117" s="9" t="s">
        <v>671</v>
      </c>
      <c r="B117" s="9" t="s">
        <v>114</v>
      </c>
      <c r="C117" s="2" t="s">
        <v>8</v>
      </c>
      <c r="D117" s="12">
        <v>1.66</v>
      </c>
      <c r="E117" s="18">
        <v>30.8</v>
      </c>
      <c r="F117" s="29">
        <v>1796</v>
      </c>
      <c r="G117" s="14">
        <v>1849</v>
      </c>
      <c r="H117" s="2">
        <v>37</v>
      </c>
      <c r="I117" s="2">
        <v>1</v>
      </c>
      <c r="J117" s="2" t="s">
        <v>192</v>
      </c>
      <c r="K117" s="2" t="s">
        <v>192</v>
      </c>
      <c r="L117" s="2">
        <v>1</v>
      </c>
      <c r="M117" s="16">
        <v>37847</v>
      </c>
      <c r="N117" s="2">
        <v>4</v>
      </c>
      <c r="O117" s="2" t="s">
        <v>192</v>
      </c>
      <c r="P117" s="2" t="s">
        <v>192</v>
      </c>
      <c r="Q117" s="2" t="s">
        <v>192</v>
      </c>
      <c r="R117" s="2">
        <f>SUM(N117,P117)</f>
        <v>4</v>
      </c>
    </row>
    <row r="118" spans="1:18" x14ac:dyDescent="0.25">
      <c r="A118" s="9" t="s">
        <v>738</v>
      </c>
      <c r="B118" s="9" t="s">
        <v>47</v>
      </c>
      <c r="C118" s="2" t="s">
        <v>8</v>
      </c>
      <c r="D118" s="12">
        <v>1.78</v>
      </c>
      <c r="E118" s="18">
        <v>31.2</v>
      </c>
      <c r="F118" s="29">
        <v>1921</v>
      </c>
      <c r="G118" s="14">
        <v>1979</v>
      </c>
      <c r="H118" s="2">
        <v>38</v>
      </c>
      <c r="I118" s="2">
        <v>1</v>
      </c>
      <c r="J118" s="2" t="s">
        <v>192</v>
      </c>
      <c r="K118" s="2" t="s">
        <v>192</v>
      </c>
      <c r="L118" s="2">
        <v>1</v>
      </c>
      <c r="M118" s="16">
        <v>41907</v>
      </c>
      <c r="N118" s="2">
        <v>4</v>
      </c>
      <c r="O118" s="2" t="s">
        <v>192</v>
      </c>
      <c r="P118" s="2" t="s">
        <v>192</v>
      </c>
      <c r="Q118" s="2" t="s">
        <v>192</v>
      </c>
      <c r="R118" s="2">
        <f>SUM(N118,P118)</f>
        <v>4</v>
      </c>
    </row>
    <row r="119" spans="1:18" x14ac:dyDescent="0.25">
      <c r="A119" s="9" t="s">
        <v>737</v>
      </c>
      <c r="B119" s="9" t="s">
        <v>95</v>
      </c>
      <c r="C119" s="2" t="s">
        <v>8</v>
      </c>
      <c r="D119" s="12">
        <v>1.93</v>
      </c>
      <c r="E119" s="18">
        <v>34.9</v>
      </c>
      <c r="F119" s="29">
        <v>2034</v>
      </c>
      <c r="G119" s="14">
        <v>2111</v>
      </c>
      <c r="H119" s="2">
        <v>39</v>
      </c>
      <c r="I119" s="2">
        <v>1</v>
      </c>
      <c r="J119" s="2" t="s">
        <v>192</v>
      </c>
      <c r="K119" s="2" t="s">
        <v>192</v>
      </c>
      <c r="L119" s="2">
        <v>1</v>
      </c>
      <c r="M119" s="16">
        <v>41907</v>
      </c>
      <c r="N119" s="2">
        <v>4</v>
      </c>
      <c r="O119" s="2" t="s">
        <v>192</v>
      </c>
      <c r="P119" s="2" t="s">
        <v>192</v>
      </c>
      <c r="Q119" s="2" t="s">
        <v>192</v>
      </c>
      <c r="R119" s="2">
        <f>SUM(N119,P119)</f>
        <v>4</v>
      </c>
    </row>
    <row r="120" spans="1:18" x14ac:dyDescent="0.25">
      <c r="A120" s="9" t="s">
        <v>762</v>
      </c>
      <c r="B120" s="9" t="s">
        <v>127</v>
      </c>
      <c r="C120" s="2" t="s">
        <v>435</v>
      </c>
      <c r="D120" s="12">
        <v>1.66</v>
      </c>
      <c r="E120" s="18">
        <v>31.4</v>
      </c>
      <c r="F120" s="29">
        <v>1797</v>
      </c>
      <c r="G120" s="14">
        <v>1844</v>
      </c>
      <c r="H120" s="2">
        <v>38</v>
      </c>
      <c r="I120" s="2">
        <v>1</v>
      </c>
      <c r="J120" s="2" t="s">
        <v>192</v>
      </c>
      <c r="K120" s="2" t="s">
        <v>192</v>
      </c>
      <c r="L120" s="2">
        <v>1</v>
      </c>
      <c r="M120" s="16">
        <v>42773</v>
      </c>
      <c r="N120" s="2">
        <v>4</v>
      </c>
      <c r="O120" s="2" t="s">
        <v>192</v>
      </c>
      <c r="P120" s="2" t="s">
        <v>192</v>
      </c>
      <c r="Q120" s="2" t="s">
        <v>192</v>
      </c>
      <c r="R120" s="2">
        <f>SUM(N120,P120)</f>
        <v>4</v>
      </c>
    </row>
    <row r="121" spans="1:18" x14ac:dyDescent="0.25">
      <c r="A121" s="9" t="s">
        <v>763</v>
      </c>
      <c r="B121" s="9" t="s">
        <v>143</v>
      </c>
      <c r="C121" s="2" t="s">
        <v>435</v>
      </c>
      <c r="D121" s="12">
        <v>1.66</v>
      </c>
      <c r="E121" s="18">
        <v>31.4</v>
      </c>
      <c r="F121" s="29">
        <v>1798</v>
      </c>
      <c r="G121" s="14">
        <v>1844</v>
      </c>
      <c r="H121" s="2">
        <v>38</v>
      </c>
      <c r="I121" s="2">
        <v>1</v>
      </c>
      <c r="J121" s="2" t="s">
        <v>192</v>
      </c>
      <c r="K121" s="2" t="s">
        <v>192</v>
      </c>
      <c r="L121" s="2">
        <v>1</v>
      </c>
      <c r="M121" s="16">
        <v>42773</v>
      </c>
      <c r="N121" s="2">
        <v>4</v>
      </c>
      <c r="O121" s="2" t="s">
        <v>192</v>
      </c>
      <c r="P121" s="2" t="s">
        <v>192</v>
      </c>
      <c r="Q121" s="2" t="s">
        <v>192</v>
      </c>
      <c r="R121" s="2">
        <f>SUM(N121,P121)</f>
        <v>4</v>
      </c>
    </row>
    <row r="122" spans="1:18" x14ac:dyDescent="0.25">
      <c r="A122" s="9" t="s">
        <v>764</v>
      </c>
      <c r="B122" s="9" t="s">
        <v>126</v>
      </c>
      <c r="C122" s="2" t="s">
        <v>435</v>
      </c>
      <c r="D122" s="12">
        <v>1.66</v>
      </c>
      <c r="E122" s="18">
        <v>31.4</v>
      </c>
      <c r="F122" s="29">
        <v>1795</v>
      </c>
      <c r="G122" s="14">
        <v>1842</v>
      </c>
      <c r="H122" s="2">
        <v>38</v>
      </c>
      <c r="I122" s="2">
        <v>1</v>
      </c>
      <c r="J122" s="2" t="s">
        <v>192</v>
      </c>
      <c r="K122" s="2" t="s">
        <v>192</v>
      </c>
      <c r="L122" s="2">
        <v>1</v>
      </c>
      <c r="M122" s="16">
        <v>42773</v>
      </c>
      <c r="N122" s="2">
        <v>4</v>
      </c>
      <c r="O122" s="2" t="s">
        <v>192</v>
      </c>
      <c r="P122" s="2" t="s">
        <v>192</v>
      </c>
      <c r="Q122" s="2" t="s">
        <v>192</v>
      </c>
      <c r="R122" s="2">
        <f>SUM(N122,P122)</f>
        <v>4</v>
      </c>
    </row>
    <row r="123" spans="1:18" x14ac:dyDescent="0.25">
      <c r="A123" s="9" t="s">
        <v>660</v>
      </c>
      <c r="B123" s="9" t="s">
        <v>97</v>
      </c>
      <c r="C123" s="2" t="s">
        <v>8</v>
      </c>
      <c r="D123" s="12">
        <v>5.66</v>
      </c>
      <c r="E123" s="18">
        <v>42.19</v>
      </c>
      <c r="F123" s="29">
        <v>4870</v>
      </c>
      <c r="G123" s="14">
        <v>5068</v>
      </c>
      <c r="H123" s="2">
        <v>52</v>
      </c>
      <c r="I123" s="2">
        <v>1</v>
      </c>
      <c r="J123" s="2" t="s">
        <v>192</v>
      </c>
      <c r="K123" s="2">
        <v>7</v>
      </c>
      <c r="L123" s="2">
        <v>8</v>
      </c>
      <c r="M123" s="16">
        <v>43104</v>
      </c>
      <c r="N123" s="2">
        <v>3</v>
      </c>
      <c r="O123" s="2" t="s">
        <v>192</v>
      </c>
      <c r="P123" s="2">
        <v>3</v>
      </c>
      <c r="Q123" s="2" t="s">
        <v>192</v>
      </c>
      <c r="R123" s="2">
        <f>SUM(N123,P123)</f>
        <v>6</v>
      </c>
    </row>
    <row r="124" spans="1:18" x14ac:dyDescent="0.25">
      <c r="A124" s="9" t="s">
        <v>718</v>
      </c>
      <c r="B124" s="9" t="s">
        <v>38</v>
      </c>
      <c r="C124" s="2" t="s">
        <v>8</v>
      </c>
      <c r="D124" s="12">
        <v>4.8899999999999997</v>
      </c>
      <c r="E124" s="18">
        <v>46.21</v>
      </c>
      <c r="F124" s="29">
        <v>3823</v>
      </c>
      <c r="G124" s="14">
        <v>3952</v>
      </c>
      <c r="H124" s="2">
        <v>46</v>
      </c>
      <c r="I124" s="2">
        <v>1</v>
      </c>
      <c r="J124" s="2" t="s">
        <v>192</v>
      </c>
      <c r="K124" s="2">
        <v>1</v>
      </c>
      <c r="L124" s="2">
        <v>2</v>
      </c>
      <c r="M124" s="16">
        <v>41248</v>
      </c>
      <c r="N124" s="2">
        <v>2</v>
      </c>
      <c r="O124" s="2" t="s">
        <v>192</v>
      </c>
      <c r="P124" s="2" t="s">
        <v>192</v>
      </c>
      <c r="Q124" s="2" t="s">
        <v>192</v>
      </c>
      <c r="R124" s="2">
        <f>SUM(N124,P124)</f>
        <v>2</v>
      </c>
    </row>
    <row r="125" spans="1:18" x14ac:dyDescent="0.25">
      <c r="A125" s="9" t="s">
        <v>772</v>
      </c>
      <c r="B125" s="9" t="s">
        <v>78</v>
      </c>
      <c r="C125" s="2" t="s">
        <v>435</v>
      </c>
      <c r="D125" s="12">
        <v>3.43</v>
      </c>
      <c r="E125" s="18">
        <v>40.5</v>
      </c>
      <c r="F125" s="29">
        <v>2900</v>
      </c>
      <c r="G125" s="14">
        <v>3126</v>
      </c>
      <c r="H125" s="2">
        <v>42</v>
      </c>
      <c r="I125" s="2">
        <v>1</v>
      </c>
      <c r="J125" s="2" t="s">
        <v>192</v>
      </c>
      <c r="K125" s="2" t="s">
        <v>192</v>
      </c>
      <c r="L125" s="2">
        <v>1</v>
      </c>
      <c r="M125" s="16">
        <v>42910</v>
      </c>
      <c r="N125" s="2">
        <v>7</v>
      </c>
      <c r="O125" s="2" t="s">
        <v>562</v>
      </c>
      <c r="P125" s="2" t="s">
        <v>192</v>
      </c>
      <c r="Q125" s="2" t="s">
        <v>192</v>
      </c>
      <c r="R125" s="2">
        <f>SUM(N125,P125)</f>
        <v>7</v>
      </c>
    </row>
    <row r="126" spans="1:18" x14ac:dyDescent="0.25">
      <c r="A126" s="9" t="s">
        <v>696</v>
      </c>
      <c r="B126" s="9" t="s">
        <v>96</v>
      </c>
      <c r="C126" s="2" t="s">
        <v>8</v>
      </c>
      <c r="D126" s="12">
        <v>4.79</v>
      </c>
      <c r="E126" s="18">
        <v>39.799999999999997</v>
      </c>
      <c r="F126" s="29">
        <v>4302</v>
      </c>
      <c r="G126" s="14">
        <v>4518</v>
      </c>
      <c r="H126" s="2">
        <v>45</v>
      </c>
      <c r="I126" s="2">
        <v>1</v>
      </c>
      <c r="J126" s="2" t="s">
        <v>192</v>
      </c>
      <c r="K126" s="2">
        <v>3</v>
      </c>
      <c r="L126" s="2">
        <v>4</v>
      </c>
      <c r="M126" s="16">
        <v>39799</v>
      </c>
      <c r="N126" s="2">
        <v>8</v>
      </c>
      <c r="O126" s="2" t="s">
        <v>192</v>
      </c>
      <c r="P126" s="2" t="s">
        <v>192</v>
      </c>
      <c r="Q126" s="2" t="s">
        <v>192</v>
      </c>
      <c r="R126" s="2">
        <f>SUM(N126,P126)</f>
        <v>8</v>
      </c>
    </row>
    <row r="127" spans="1:18" x14ac:dyDescent="0.25">
      <c r="A127" s="9" t="s">
        <v>698</v>
      </c>
      <c r="B127" s="9" t="s">
        <v>142</v>
      </c>
      <c r="C127" s="2" t="s">
        <v>8</v>
      </c>
      <c r="D127" s="12">
        <v>4.8</v>
      </c>
      <c r="E127" s="18">
        <v>39.799999999999997</v>
      </c>
      <c r="F127" s="29">
        <v>4375</v>
      </c>
      <c r="G127" s="14">
        <v>4561</v>
      </c>
      <c r="H127" s="2">
        <v>44</v>
      </c>
      <c r="I127" s="2">
        <v>1</v>
      </c>
      <c r="J127" s="2" t="s">
        <v>192</v>
      </c>
      <c r="K127" s="2">
        <v>4</v>
      </c>
      <c r="L127" s="2">
        <v>5</v>
      </c>
      <c r="M127" s="16">
        <v>40051</v>
      </c>
      <c r="N127" s="2">
        <v>8</v>
      </c>
      <c r="O127" s="2" t="s">
        <v>192</v>
      </c>
      <c r="P127" s="2" t="s">
        <v>192</v>
      </c>
      <c r="Q127" s="2" t="s">
        <v>192</v>
      </c>
      <c r="R127" s="2">
        <f>SUM(N127,P127)</f>
        <v>8</v>
      </c>
    </row>
    <row r="128" spans="1:18" x14ac:dyDescent="0.25">
      <c r="A128" s="9" t="s">
        <v>710</v>
      </c>
      <c r="B128" s="9" t="s">
        <v>49</v>
      </c>
      <c r="C128" s="2" t="s">
        <v>8</v>
      </c>
      <c r="D128" s="12">
        <v>8.73</v>
      </c>
      <c r="E128" s="18">
        <v>37.5</v>
      </c>
      <c r="F128" s="29">
        <v>6441</v>
      </c>
      <c r="G128" s="14">
        <v>6724</v>
      </c>
      <c r="H128" s="2">
        <v>55</v>
      </c>
      <c r="I128" s="2">
        <v>1</v>
      </c>
      <c r="J128" s="2" t="s">
        <v>192</v>
      </c>
      <c r="K128" s="2">
        <v>2</v>
      </c>
      <c r="L128" s="2">
        <v>3</v>
      </c>
      <c r="M128" s="16">
        <v>41247</v>
      </c>
      <c r="N128" s="2">
        <v>14</v>
      </c>
      <c r="O128" s="2" t="s">
        <v>192</v>
      </c>
      <c r="Q128" s="2" t="s">
        <v>192</v>
      </c>
      <c r="R128" s="2">
        <f>SUM(N128,P128)</f>
        <v>14</v>
      </c>
    </row>
    <row r="129" spans="1:18" x14ac:dyDescent="0.25">
      <c r="A129" s="9" t="s">
        <v>776</v>
      </c>
      <c r="B129" s="9" t="s">
        <v>66</v>
      </c>
      <c r="C129" s="2" t="s">
        <v>435</v>
      </c>
      <c r="D129" s="12">
        <v>9.76</v>
      </c>
      <c r="E129" s="18">
        <v>43.74</v>
      </c>
      <c r="F129" s="29">
        <v>7436</v>
      </c>
      <c r="G129" s="14">
        <v>8122</v>
      </c>
      <c r="H129" s="2">
        <v>43</v>
      </c>
      <c r="I129" s="2">
        <v>1</v>
      </c>
      <c r="J129" s="2" t="s">
        <v>192</v>
      </c>
      <c r="K129" s="2">
        <v>7</v>
      </c>
      <c r="L129" s="2">
        <v>8</v>
      </c>
      <c r="M129" s="16">
        <v>42910</v>
      </c>
      <c r="N129" s="2">
        <v>25</v>
      </c>
      <c r="O129" s="2" t="s">
        <v>566</v>
      </c>
      <c r="P129" s="2">
        <v>3</v>
      </c>
      <c r="Q129" s="2" t="s">
        <v>273</v>
      </c>
      <c r="R129" s="2">
        <f>SUM(N129,P129)</f>
        <v>28</v>
      </c>
    </row>
    <row r="130" spans="1:18" x14ac:dyDescent="0.25">
      <c r="A130" s="9" t="s">
        <v>648</v>
      </c>
      <c r="B130" s="9" t="s">
        <v>91</v>
      </c>
      <c r="C130" s="2" t="s">
        <v>435</v>
      </c>
      <c r="D130" s="12">
        <v>9.85</v>
      </c>
      <c r="E130" s="18">
        <v>43.43</v>
      </c>
      <c r="F130" s="29">
        <v>7543</v>
      </c>
      <c r="G130" s="14">
        <v>8229</v>
      </c>
      <c r="H130" s="2">
        <v>46</v>
      </c>
      <c r="I130" s="2">
        <v>1</v>
      </c>
      <c r="J130" s="2" t="s">
        <v>192</v>
      </c>
      <c r="K130" s="2">
        <v>4</v>
      </c>
      <c r="L130" s="2">
        <v>5</v>
      </c>
      <c r="M130" s="16">
        <v>42910</v>
      </c>
      <c r="N130" s="2">
        <v>24</v>
      </c>
      <c r="O130" s="2" t="s">
        <v>196</v>
      </c>
      <c r="P130" s="2">
        <v>1</v>
      </c>
      <c r="Q130" s="2" t="s">
        <v>192</v>
      </c>
      <c r="R130" s="2">
        <f>SUM(N130,P130)</f>
        <v>25</v>
      </c>
    </row>
    <row r="131" spans="1:18" x14ac:dyDescent="0.25">
      <c r="A131" s="9" t="s">
        <v>769</v>
      </c>
      <c r="B131" s="9" t="s">
        <v>75</v>
      </c>
      <c r="C131" s="2" t="s">
        <v>435</v>
      </c>
      <c r="D131" s="12">
        <v>5.61</v>
      </c>
      <c r="E131" s="18">
        <v>37.76</v>
      </c>
      <c r="F131" s="29">
        <v>4744</v>
      </c>
      <c r="G131" s="14">
        <v>5146</v>
      </c>
      <c r="H131" s="2">
        <v>44</v>
      </c>
      <c r="I131" s="2">
        <v>1</v>
      </c>
      <c r="J131" s="2" t="s">
        <v>192</v>
      </c>
      <c r="K131" s="2">
        <v>1</v>
      </c>
      <c r="L131" s="2">
        <v>2</v>
      </c>
      <c r="M131" s="16">
        <v>42910</v>
      </c>
      <c r="N131" s="2">
        <v>7</v>
      </c>
      <c r="O131" s="2" t="s">
        <v>928</v>
      </c>
      <c r="P131" s="2" t="s">
        <v>192</v>
      </c>
      <c r="Q131" s="2" t="s">
        <v>192</v>
      </c>
      <c r="R131" s="2">
        <f>SUM(N131,P131)</f>
        <v>7</v>
      </c>
    </row>
    <row r="132" spans="1:18" x14ac:dyDescent="0.25">
      <c r="A132" s="9" t="s">
        <v>637</v>
      </c>
      <c r="B132" s="9" t="s">
        <v>32</v>
      </c>
      <c r="C132" s="2" t="s">
        <v>8</v>
      </c>
      <c r="D132" s="12">
        <v>5.54</v>
      </c>
      <c r="E132" s="18">
        <v>36.270000000000003</v>
      </c>
      <c r="F132" s="29">
        <v>4732</v>
      </c>
      <c r="G132" s="14">
        <v>4969</v>
      </c>
      <c r="H132" s="2">
        <v>45</v>
      </c>
      <c r="I132" s="2">
        <v>1</v>
      </c>
      <c r="J132" s="2" t="s">
        <v>192</v>
      </c>
      <c r="K132" s="2">
        <v>5</v>
      </c>
      <c r="L132" s="2">
        <v>6</v>
      </c>
      <c r="M132" s="16">
        <v>41249</v>
      </c>
      <c r="N132" s="2">
        <v>12</v>
      </c>
      <c r="O132" s="2" t="s">
        <v>192</v>
      </c>
      <c r="P132" s="2">
        <v>1</v>
      </c>
      <c r="Q132" s="2" t="s">
        <v>192</v>
      </c>
      <c r="R132" s="2">
        <f>SUM(N132,P132)</f>
        <v>13</v>
      </c>
    </row>
    <row r="133" spans="1:18" x14ac:dyDescent="0.25">
      <c r="A133" s="9" t="s">
        <v>752</v>
      </c>
      <c r="B133" s="9" t="s">
        <v>70</v>
      </c>
      <c r="C133" s="2" t="s">
        <v>8</v>
      </c>
      <c r="D133" s="12">
        <v>5.46</v>
      </c>
      <c r="E133" s="18">
        <v>36.549999999999997</v>
      </c>
      <c r="F133" s="29">
        <v>4668</v>
      </c>
      <c r="G133" s="14">
        <v>4926</v>
      </c>
      <c r="H133" s="2">
        <v>44</v>
      </c>
      <c r="I133" s="2">
        <v>1</v>
      </c>
      <c r="J133" s="2" t="s">
        <v>192</v>
      </c>
      <c r="K133" s="2">
        <v>1</v>
      </c>
      <c r="L133" s="2">
        <v>2</v>
      </c>
      <c r="M133" s="16">
        <v>42434</v>
      </c>
      <c r="N133" s="2">
        <v>9</v>
      </c>
      <c r="O133" s="2" t="s">
        <v>192</v>
      </c>
      <c r="P133" s="2">
        <v>1</v>
      </c>
      <c r="Q133" s="2" t="s">
        <v>192</v>
      </c>
      <c r="R133" s="2">
        <f>SUM(N133,P133)</f>
        <v>10</v>
      </c>
    </row>
    <row r="134" spans="1:18" x14ac:dyDescent="0.25">
      <c r="A134" s="9" t="s">
        <v>795</v>
      </c>
      <c r="B134" s="9" t="s">
        <v>135</v>
      </c>
      <c r="C134" s="2" t="s">
        <v>435</v>
      </c>
      <c r="D134" s="12">
        <v>2.69</v>
      </c>
      <c r="E134" s="18">
        <v>54.9</v>
      </c>
      <c r="F134" s="29">
        <v>2459</v>
      </c>
      <c r="G134" s="14">
        <v>2678</v>
      </c>
      <c r="H134" s="2">
        <v>39</v>
      </c>
      <c r="I134" s="2">
        <v>1</v>
      </c>
      <c r="J134" s="2" t="s">
        <v>192</v>
      </c>
      <c r="K134" s="2" t="s">
        <v>192</v>
      </c>
      <c r="L134" s="2">
        <v>1</v>
      </c>
      <c r="M134" s="16">
        <v>43432</v>
      </c>
      <c r="N134" s="2">
        <v>3</v>
      </c>
      <c r="O134" s="9" t="s">
        <v>192</v>
      </c>
      <c r="P134" s="2" t="s">
        <v>192</v>
      </c>
      <c r="Q134" s="2" t="s">
        <v>192</v>
      </c>
      <c r="R134" s="2">
        <f>SUM(N134,P134)</f>
        <v>3</v>
      </c>
    </row>
    <row r="135" spans="1:18" x14ac:dyDescent="0.25">
      <c r="A135" s="9" t="s">
        <v>805</v>
      </c>
      <c r="B135" s="9" t="s">
        <v>433</v>
      </c>
      <c r="C135" s="2" t="s">
        <v>435</v>
      </c>
      <c r="D135" s="12">
        <v>2.76</v>
      </c>
      <c r="E135" s="18">
        <v>54.8</v>
      </c>
      <c r="F135" s="29">
        <v>2446</v>
      </c>
      <c r="G135" s="14">
        <v>2752</v>
      </c>
      <c r="H135" s="2">
        <v>39</v>
      </c>
      <c r="I135" s="2">
        <v>1</v>
      </c>
      <c r="J135" s="2" t="s">
        <v>192</v>
      </c>
      <c r="K135" s="2" t="s">
        <v>192</v>
      </c>
      <c r="L135" s="2">
        <v>1</v>
      </c>
      <c r="M135" s="16">
        <v>43773</v>
      </c>
      <c r="N135" s="13">
        <v>3</v>
      </c>
      <c r="O135" s="2" t="s">
        <v>192</v>
      </c>
      <c r="P135" s="2" t="s">
        <v>192</v>
      </c>
      <c r="Q135" s="2" t="s">
        <v>192</v>
      </c>
      <c r="R135" s="2">
        <f>SUM(N135,P135)</f>
        <v>3</v>
      </c>
    </row>
    <row r="136" spans="1:18" x14ac:dyDescent="0.25">
      <c r="A136" s="9" t="s">
        <v>675</v>
      </c>
      <c r="B136" s="9" t="s">
        <v>9</v>
      </c>
      <c r="C136" s="2" t="s">
        <v>8</v>
      </c>
      <c r="D136" s="12">
        <v>2.7</v>
      </c>
      <c r="E136" s="18">
        <v>55.5</v>
      </c>
      <c r="F136" s="29">
        <v>2615</v>
      </c>
      <c r="G136" s="14">
        <v>2715</v>
      </c>
      <c r="H136" s="2">
        <v>45</v>
      </c>
      <c r="I136" s="2">
        <v>1</v>
      </c>
      <c r="J136" s="2" t="s">
        <v>192</v>
      </c>
      <c r="K136" s="2" t="s">
        <v>192</v>
      </c>
      <c r="L136" s="2">
        <v>1</v>
      </c>
      <c r="M136" s="16">
        <v>38335</v>
      </c>
      <c r="N136" s="2">
        <v>3</v>
      </c>
      <c r="O136" s="2" t="s">
        <v>192</v>
      </c>
      <c r="P136" s="2" t="s">
        <v>192</v>
      </c>
      <c r="Q136" s="2" t="s">
        <v>192</v>
      </c>
      <c r="R136" s="2">
        <f>SUM(N136,P136)</f>
        <v>3</v>
      </c>
    </row>
    <row r="137" spans="1:18" x14ac:dyDescent="0.25">
      <c r="A137" s="9" t="s">
        <v>681</v>
      </c>
      <c r="B137" s="9" t="s">
        <v>113</v>
      </c>
      <c r="C137" s="2" t="s">
        <v>8</v>
      </c>
      <c r="D137" s="12">
        <v>2.74</v>
      </c>
      <c r="E137" s="18">
        <v>55.46</v>
      </c>
      <c r="F137" s="29">
        <v>2685</v>
      </c>
      <c r="G137" s="14">
        <v>2756</v>
      </c>
      <c r="H137" s="2">
        <v>45</v>
      </c>
      <c r="I137" s="2">
        <v>1</v>
      </c>
      <c r="J137" s="2" t="s">
        <v>192</v>
      </c>
      <c r="K137" s="2">
        <v>1</v>
      </c>
      <c r="L137" s="2">
        <v>2</v>
      </c>
      <c r="M137" s="16">
        <v>38664</v>
      </c>
      <c r="N137" s="2">
        <v>3</v>
      </c>
      <c r="O137" s="2" t="s">
        <v>192</v>
      </c>
      <c r="Q137" s="2" t="s">
        <v>192</v>
      </c>
      <c r="R137" s="2">
        <f>SUM(N137,P137)</f>
        <v>3</v>
      </c>
    </row>
    <row r="138" spans="1:18" x14ac:dyDescent="0.25">
      <c r="A138" s="9" t="s">
        <v>796</v>
      </c>
      <c r="B138" s="9" t="s">
        <v>116</v>
      </c>
      <c r="C138" s="2" t="s">
        <v>8</v>
      </c>
      <c r="D138" s="12">
        <v>2.88</v>
      </c>
      <c r="E138" s="18">
        <v>55.13</v>
      </c>
      <c r="F138" s="29">
        <v>2815</v>
      </c>
      <c r="G138" s="14">
        <v>2899</v>
      </c>
      <c r="H138" s="2">
        <v>46</v>
      </c>
      <c r="I138" s="2">
        <v>1</v>
      </c>
      <c r="J138" s="2" t="s">
        <v>192</v>
      </c>
      <c r="K138" s="2">
        <v>2</v>
      </c>
      <c r="L138" s="2">
        <v>3</v>
      </c>
      <c r="M138" s="16">
        <v>43455</v>
      </c>
      <c r="N138" s="2">
        <v>3</v>
      </c>
      <c r="O138" s="2" t="s">
        <v>192</v>
      </c>
      <c r="P138" s="2" t="s">
        <v>192</v>
      </c>
      <c r="Q138" s="2" t="s">
        <v>192</v>
      </c>
      <c r="R138" s="2">
        <f>SUM(N138,P138)</f>
        <v>3</v>
      </c>
    </row>
    <row r="139" spans="1:18" x14ac:dyDescent="0.25">
      <c r="A139" s="9" t="s">
        <v>784</v>
      </c>
      <c r="B139" s="9" t="s">
        <v>83</v>
      </c>
      <c r="C139" s="2" t="s">
        <v>8</v>
      </c>
      <c r="D139" s="12">
        <v>2.66</v>
      </c>
      <c r="E139" s="18">
        <v>53.5</v>
      </c>
      <c r="F139" s="29">
        <v>2246</v>
      </c>
      <c r="G139" s="14">
        <v>2592</v>
      </c>
      <c r="H139" s="2">
        <v>41</v>
      </c>
      <c r="I139" s="2">
        <v>1</v>
      </c>
      <c r="J139" s="2" t="s">
        <v>192</v>
      </c>
      <c r="K139" s="2" t="s">
        <v>192</v>
      </c>
      <c r="L139" s="2">
        <v>1</v>
      </c>
      <c r="M139" s="16">
        <v>43045</v>
      </c>
      <c r="N139" s="32">
        <v>3</v>
      </c>
      <c r="O139" s="2" t="s">
        <v>192</v>
      </c>
      <c r="P139" s="2" t="s">
        <v>192</v>
      </c>
      <c r="Q139" s="2" t="s">
        <v>192</v>
      </c>
      <c r="R139" s="2">
        <f>SUM(N139,P139)</f>
        <v>3</v>
      </c>
    </row>
    <row r="140" spans="1:18" x14ac:dyDescent="0.25">
      <c r="A140" s="9" t="s">
        <v>798</v>
      </c>
      <c r="B140" s="9" t="s">
        <v>426</v>
      </c>
      <c r="C140" s="2" t="s">
        <v>8</v>
      </c>
      <c r="D140" s="12">
        <v>2.79</v>
      </c>
      <c r="E140" s="18">
        <v>64.099999999999994</v>
      </c>
      <c r="F140" s="29" t="s">
        <v>452</v>
      </c>
      <c r="G140" s="14">
        <v>3027</v>
      </c>
      <c r="H140" s="2">
        <v>46</v>
      </c>
      <c r="I140" s="2">
        <v>1</v>
      </c>
      <c r="J140" s="2" t="s">
        <v>192</v>
      </c>
      <c r="K140" s="2" t="s">
        <v>192</v>
      </c>
      <c r="L140" s="2">
        <v>1</v>
      </c>
      <c r="M140" s="16">
        <v>43560</v>
      </c>
      <c r="N140" s="2">
        <v>14</v>
      </c>
      <c r="O140" s="2" t="s">
        <v>192</v>
      </c>
      <c r="P140" s="2" t="s">
        <v>192</v>
      </c>
      <c r="Q140" s="2" t="s">
        <v>192</v>
      </c>
      <c r="R140" s="2">
        <f>SUM(N140,P140)</f>
        <v>14</v>
      </c>
    </row>
    <row r="141" spans="1:18" x14ac:dyDescent="0.25">
      <c r="A141" s="9" t="s">
        <v>685</v>
      </c>
      <c r="B141" s="9" t="s">
        <v>138</v>
      </c>
      <c r="C141" s="2" t="s">
        <v>8</v>
      </c>
      <c r="D141" s="12">
        <v>2.61</v>
      </c>
      <c r="E141" s="18">
        <v>52.4</v>
      </c>
      <c r="F141" s="29">
        <v>2627</v>
      </c>
      <c r="G141" s="14">
        <v>2717</v>
      </c>
      <c r="H141" s="2">
        <v>44</v>
      </c>
      <c r="I141" s="2">
        <v>1</v>
      </c>
      <c r="J141" s="2" t="s">
        <v>192</v>
      </c>
      <c r="K141" s="2" t="s">
        <v>192</v>
      </c>
      <c r="L141" s="2">
        <v>1</v>
      </c>
      <c r="M141" s="16">
        <v>38961</v>
      </c>
      <c r="N141" s="2">
        <v>11</v>
      </c>
      <c r="O141" s="2" t="s">
        <v>192</v>
      </c>
      <c r="P141" s="2" t="s">
        <v>192</v>
      </c>
      <c r="Q141" s="2" t="s">
        <v>192</v>
      </c>
      <c r="R141" s="2">
        <f>SUM(N141,P141)</f>
        <v>11</v>
      </c>
    </row>
    <row r="142" spans="1:18" x14ac:dyDescent="0.25">
      <c r="A142" s="9" t="s">
        <v>679</v>
      </c>
      <c r="B142" s="9" t="s">
        <v>104</v>
      </c>
      <c r="C142" s="2" t="s">
        <v>8</v>
      </c>
      <c r="D142" s="12">
        <v>2.5099999999999998</v>
      </c>
      <c r="E142" s="18">
        <v>59.2</v>
      </c>
      <c r="F142" s="29">
        <v>2641</v>
      </c>
      <c r="G142" s="14">
        <v>2756</v>
      </c>
      <c r="H142" s="2">
        <v>46</v>
      </c>
      <c r="I142" s="2">
        <v>1</v>
      </c>
      <c r="J142" s="2" t="s">
        <v>192</v>
      </c>
      <c r="K142" s="2" t="s">
        <v>192</v>
      </c>
      <c r="L142" s="2">
        <v>1</v>
      </c>
      <c r="M142" s="16">
        <v>38652</v>
      </c>
      <c r="N142" s="2">
        <v>7</v>
      </c>
      <c r="O142" s="2" t="s">
        <v>192</v>
      </c>
      <c r="P142" s="2" t="s">
        <v>192</v>
      </c>
      <c r="Q142" s="2" t="s">
        <v>192</v>
      </c>
      <c r="R142" s="2">
        <f>SUM(N142,P142)</f>
        <v>7</v>
      </c>
    </row>
    <row r="143" spans="1:18" x14ac:dyDescent="0.25">
      <c r="A143" s="9" t="s">
        <v>678</v>
      </c>
      <c r="B143" s="9" t="s">
        <v>34</v>
      </c>
      <c r="C143" s="2" t="s">
        <v>8</v>
      </c>
      <c r="D143" s="12">
        <v>2.23</v>
      </c>
      <c r="E143" s="18">
        <v>54.2</v>
      </c>
      <c r="F143" s="29">
        <v>2338</v>
      </c>
      <c r="G143" s="14">
        <v>2405</v>
      </c>
      <c r="H143" s="2">
        <v>44</v>
      </c>
      <c r="I143" s="2">
        <v>1</v>
      </c>
      <c r="J143" s="2" t="s">
        <v>192</v>
      </c>
      <c r="K143" s="2" t="s">
        <v>192</v>
      </c>
      <c r="L143" s="2">
        <v>1</v>
      </c>
      <c r="M143" s="16">
        <v>38651</v>
      </c>
      <c r="N143" s="2">
        <v>11</v>
      </c>
      <c r="O143" s="2" t="s">
        <v>192</v>
      </c>
      <c r="P143" s="2" t="s">
        <v>192</v>
      </c>
      <c r="Q143" s="2" t="s">
        <v>192</v>
      </c>
      <c r="R143" s="2">
        <f>SUM(N143,P143)</f>
        <v>11</v>
      </c>
    </row>
    <row r="144" spans="1:18" x14ac:dyDescent="0.25">
      <c r="A144" s="9" t="s">
        <v>682</v>
      </c>
      <c r="B144" s="9" t="s">
        <v>133</v>
      </c>
      <c r="C144" s="2" t="s">
        <v>8</v>
      </c>
      <c r="D144" s="12">
        <v>3.05</v>
      </c>
      <c r="E144" s="18">
        <v>58.5</v>
      </c>
      <c r="F144" s="29">
        <v>2628</v>
      </c>
      <c r="G144" s="14">
        <v>2830</v>
      </c>
      <c r="H144" s="2">
        <v>44</v>
      </c>
      <c r="I144" s="2">
        <v>1</v>
      </c>
      <c r="J144" s="2" t="s">
        <v>192</v>
      </c>
      <c r="K144" s="2" t="s">
        <v>192</v>
      </c>
      <c r="L144" s="2">
        <v>1</v>
      </c>
      <c r="M144" s="16">
        <v>38754</v>
      </c>
      <c r="N144" s="2">
        <v>1</v>
      </c>
      <c r="O144" s="2" t="s">
        <v>192</v>
      </c>
      <c r="P144" s="2" t="s">
        <v>192</v>
      </c>
      <c r="Q144" s="2" t="s">
        <v>192</v>
      </c>
      <c r="R144" s="2">
        <f>SUM(N144,P144)</f>
        <v>1</v>
      </c>
    </row>
    <row r="145" spans="1:18" x14ac:dyDescent="0.25">
      <c r="A145" s="9" t="s">
        <v>683</v>
      </c>
      <c r="B145" s="9" t="s">
        <v>121</v>
      </c>
      <c r="C145" s="2" t="s">
        <v>8</v>
      </c>
      <c r="D145" s="12">
        <v>2.93</v>
      </c>
      <c r="E145" s="18">
        <v>60.2</v>
      </c>
      <c r="F145" s="29">
        <v>2569</v>
      </c>
      <c r="G145" s="14">
        <v>2806</v>
      </c>
      <c r="H145" s="2">
        <v>47</v>
      </c>
      <c r="I145" s="2">
        <v>1</v>
      </c>
      <c r="J145" s="2" t="s">
        <v>192</v>
      </c>
      <c r="K145" s="2" t="s">
        <v>192</v>
      </c>
      <c r="L145" s="2">
        <v>1</v>
      </c>
      <c r="M145" s="16">
        <v>38754</v>
      </c>
      <c r="N145" s="2">
        <v>1</v>
      </c>
      <c r="O145" s="2" t="s">
        <v>192</v>
      </c>
      <c r="P145" s="2" t="s">
        <v>192</v>
      </c>
      <c r="Q145" s="2" t="s">
        <v>192</v>
      </c>
      <c r="R145" s="2">
        <f>SUM(N145,P145)</f>
        <v>1</v>
      </c>
    </row>
    <row r="146" spans="1:18" x14ac:dyDescent="0.25">
      <c r="A146" s="9" t="s">
        <v>734</v>
      </c>
      <c r="B146" s="9" t="s">
        <v>173</v>
      </c>
      <c r="C146" s="2" t="s">
        <v>8</v>
      </c>
      <c r="D146" s="12">
        <v>2.79</v>
      </c>
      <c r="E146" s="18">
        <v>57.5</v>
      </c>
      <c r="F146" s="29">
        <v>2846</v>
      </c>
      <c r="G146" s="14">
        <v>2935</v>
      </c>
      <c r="H146" s="2">
        <v>42</v>
      </c>
      <c r="I146" s="2">
        <v>1</v>
      </c>
      <c r="J146" s="2" t="s">
        <v>192</v>
      </c>
      <c r="K146" s="2" t="s">
        <v>192</v>
      </c>
      <c r="L146" s="2">
        <v>1</v>
      </c>
      <c r="M146" s="16">
        <v>41855</v>
      </c>
      <c r="N146" s="2">
        <v>12</v>
      </c>
      <c r="O146" s="32" t="s">
        <v>192</v>
      </c>
      <c r="P146" s="2" t="s">
        <v>192</v>
      </c>
      <c r="Q146" s="2" t="s">
        <v>192</v>
      </c>
      <c r="R146" s="2">
        <f>SUM(N146,P146)</f>
        <v>12</v>
      </c>
    </row>
    <row r="147" spans="1:18" x14ac:dyDescent="0.25">
      <c r="A147" s="9" t="s">
        <v>735</v>
      </c>
      <c r="B147" s="9" t="s">
        <v>174</v>
      </c>
      <c r="C147" s="2" t="s">
        <v>8</v>
      </c>
      <c r="D147" s="12">
        <v>2.59</v>
      </c>
      <c r="E147" s="18">
        <v>61.4</v>
      </c>
      <c r="F147" s="29">
        <v>2555</v>
      </c>
      <c r="G147" s="14">
        <v>2628</v>
      </c>
      <c r="H147" s="2">
        <v>44</v>
      </c>
      <c r="I147" s="2">
        <v>1</v>
      </c>
      <c r="J147" s="2" t="s">
        <v>192</v>
      </c>
      <c r="K147" s="2" t="s">
        <v>192</v>
      </c>
      <c r="L147" s="2">
        <v>1</v>
      </c>
      <c r="M147" s="16">
        <v>41855</v>
      </c>
      <c r="N147" s="2">
        <v>5</v>
      </c>
      <c r="O147" s="2" t="s">
        <v>192</v>
      </c>
      <c r="P147" s="2" t="s">
        <v>192</v>
      </c>
      <c r="Q147" s="2" t="s">
        <v>192</v>
      </c>
      <c r="R147" s="2">
        <f>SUM(N147,P147)</f>
        <v>5</v>
      </c>
    </row>
    <row r="148" spans="1:18" x14ac:dyDescent="0.25">
      <c r="A148" s="9" t="s">
        <v>736</v>
      </c>
      <c r="B148" s="9" t="s">
        <v>175</v>
      </c>
      <c r="C148" s="2" t="s">
        <v>8</v>
      </c>
      <c r="D148" s="12">
        <v>2.57</v>
      </c>
      <c r="E148" s="18">
        <v>59.1</v>
      </c>
      <c r="F148" s="29">
        <v>2602</v>
      </c>
      <c r="G148" s="14">
        <v>2701</v>
      </c>
      <c r="H148" s="2">
        <v>46</v>
      </c>
      <c r="I148" s="2">
        <v>1</v>
      </c>
      <c r="J148" s="2" t="s">
        <v>192</v>
      </c>
      <c r="K148" s="2" t="s">
        <v>192</v>
      </c>
      <c r="L148" s="2">
        <v>1</v>
      </c>
      <c r="M148" s="16">
        <v>41855</v>
      </c>
      <c r="N148" s="2">
        <v>7</v>
      </c>
      <c r="O148" s="2" t="s">
        <v>192</v>
      </c>
      <c r="P148" s="2" t="s">
        <v>192</v>
      </c>
      <c r="Q148" s="2" t="s">
        <v>192</v>
      </c>
      <c r="R148" s="2">
        <f>SUM(N148,P148)</f>
        <v>7</v>
      </c>
    </row>
    <row r="149" spans="1:18" x14ac:dyDescent="0.25">
      <c r="A149" s="9" t="s">
        <v>765</v>
      </c>
      <c r="B149" s="9" t="s">
        <v>183</v>
      </c>
      <c r="C149" s="2" t="s">
        <v>8</v>
      </c>
      <c r="D149" s="12">
        <v>3.12</v>
      </c>
      <c r="E149" s="18">
        <v>49.43</v>
      </c>
      <c r="F149" s="29">
        <v>2864</v>
      </c>
      <c r="G149" s="14">
        <v>2958</v>
      </c>
      <c r="H149" s="2">
        <v>44</v>
      </c>
      <c r="I149" s="2">
        <v>1</v>
      </c>
      <c r="J149" s="2" t="s">
        <v>192</v>
      </c>
      <c r="K149" s="2">
        <v>4</v>
      </c>
      <c r="L149" s="2">
        <v>5</v>
      </c>
      <c r="M149" s="16">
        <v>42774</v>
      </c>
      <c r="N149" s="2">
        <v>3</v>
      </c>
      <c r="O149" s="2" t="s">
        <v>192</v>
      </c>
      <c r="P149" s="2">
        <v>1</v>
      </c>
      <c r="Q149" s="2" t="s">
        <v>192</v>
      </c>
      <c r="R149" s="2">
        <f>SUM(N149,P149)</f>
        <v>4</v>
      </c>
    </row>
    <row r="150" spans="1:18" x14ac:dyDescent="0.25">
      <c r="A150" s="9" t="s">
        <v>663</v>
      </c>
      <c r="B150" s="9" t="s">
        <v>427</v>
      </c>
      <c r="C150" s="2" t="s">
        <v>435</v>
      </c>
      <c r="D150" s="12">
        <v>3.47</v>
      </c>
      <c r="E150" s="18">
        <v>49.15</v>
      </c>
      <c r="F150" s="29">
        <v>3169</v>
      </c>
      <c r="G150" s="14">
        <v>3315</v>
      </c>
      <c r="H150" s="2">
        <v>42</v>
      </c>
      <c r="I150" s="2">
        <v>1</v>
      </c>
      <c r="J150" s="2" t="s">
        <v>192</v>
      </c>
      <c r="K150" s="2">
        <v>5</v>
      </c>
      <c r="L150" s="2">
        <v>6</v>
      </c>
      <c r="M150" s="16">
        <v>43607</v>
      </c>
      <c r="N150" s="13">
        <v>3</v>
      </c>
      <c r="O150" s="2" t="s">
        <v>192</v>
      </c>
      <c r="P150" s="2">
        <v>1</v>
      </c>
      <c r="Q150" s="2" t="s">
        <v>192</v>
      </c>
      <c r="R150" s="2">
        <f>SUM(N150,P150)</f>
        <v>4</v>
      </c>
    </row>
    <row r="151" spans="1:18" x14ac:dyDescent="0.25">
      <c r="A151" s="9" t="s">
        <v>708</v>
      </c>
      <c r="B151" s="9" t="s">
        <v>170</v>
      </c>
      <c r="C151" s="2" t="s">
        <v>8</v>
      </c>
      <c r="D151" s="12">
        <v>3.72</v>
      </c>
      <c r="E151" s="18">
        <v>48.49</v>
      </c>
      <c r="F151" s="29">
        <v>3520</v>
      </c>
      <c r="G151" s="14">
        <v>3672</v>
      </c>
      <c r="H151" s="2">
        <v>41</v>
      </c>
      <c r="I151" s="2">
        <v>1</v>
      </c>
      <c r="J151" s="2" t="s">
        <v>192</v>
      </c>
      <c r="K151" s="2">
        <v>1</v>
      </c>
      <c r="L151" s="2">
        <v>2</v>
      </c>
      <c r="M151" s="16">
        <v>41247</v>
      </c>
      <c r="N151" s="2">
        <v>3</v>
      </c>
      <c r="O151" s="2" t="s">
        <v>192</v>
      </c>
      <c r="P151" s="2" t="s">
        <v>192</v>
      </c>
      <c r="Q151" s="2" t="s">
        <v>192</v>
      </c>
      <c r="R151" s="2">
        <f>SUM(N151,P151)</f>
        <v>3</v>
      </c>
    </row>
    <row r="152" spans="1:18" x14ac:dyDescent="0.25">
      <c r="A152" s="9" t="s">
        <v>630</v>
      </c>
      <c r="B152" s="9" t="s">
        <v>148</v>
      </c>
      <c r="C152" s="2" t="s">
        <v>8</v>
      </c>
      <c r="D152" s="12">
        <v>3.41</v>
      </c>
      <c r="E152" s="18">
        <v>49.16</v>
      </c>
      <c r="F152" s="29">
        <v>3145</v>
      </c>
      <c r="G152" s="14">
        <v>3240</v>
      </c>
      <c r="H152" s="2">
        <v>45</v>
      </c>
      <c r="I152" s="2">
        <v>1</v>
      </c>
      <c r="J152" s="2" t="s">
        <v>192</v>
      </c>
      <c r="K152" s="2">
        <v>6</v>
      </c>
      <c r="L152" s="2">
        <v>7</v>
      </c>
      <c r="M152" s="16">
        <v>39521</v>
      </c>
      <c r="N152" s="2">
        <v>3</v>
      </c>
      <c r="O152" s="32" t="s">
        <v>192</v>
      </c>
      <c r="P152" s="2">
        <v>1</v>
      </c>
      <c r="Q152" s="2" t="s">
        <v>192</v>
      </c>
      <c r="R152" s="2">
        <f>SUM(N152,P152)</f>
        <v>4</v>
      </c>
    </row>
    <row r="153" spans="1:18" x14ac:dyDescent="0.25">
      <c r="A153" s="9" t="s">
        <v>756</v>
      </c>
      <c r="B153" s="9" t="s">
        <v>179</v>
      </c>
      <c r="C153" s="2" t="s">
        <v>8</v>
      </c>
      <c r="D153" s="12">
        <v>3.35</v>
      </c>
      <c r="E153" s="18">
        <v>49.3</v>
      </c>
      <c r="F153" s="29">
        <v>3069</v>
      </c>
      <c r="G153" s="14">
        <v>3182</v>
      </c>
      <c r="H153" s="2">
        <v>43</v>
      </c>
      <c r="I153" s="2">
        <v>1</v>
      </c>
      <c r="J153" s="2" t="s">
        <v>192</v>
      </c>
      <c r="K153" s="2">
        <v>2</v>
      </c>
      <c r="L153" s="2">
        <v>3</v>
      </c>
      <c r="M153" s="16">
        <v>42576</v>
      </c>
      <c r="N153" s="2">
        <v>3</v>
      </c>
      <c r="O153" s="2" t="s">
        <v>192</v>
      </c>
      <c r="P153" s="2" t="s">
        <v>192</v>
      </c>
      <c r="Q153" s="2" t="s">
        <v>192</v>
      </c>
      <c r="R153" s="2">
        <f>SUM(N153,P153)</f>
        <v>3</v>
      </c>
    </row>
    <row r="154" spans="1:18" x14ac:dyDescent="0.25">
      <c r="A154" s="9" t="s">
        <v>646</v>
      </c>
      <c r="B154" s="9" t="s">
        <v>180</v>
      </c>
      <c r="C154" s="2" t="s">
        <v>8</v>
      </c>
      <c r="D154" s="12">
        <v>3.43</v>
      </c>
      <c r="E154" s="18">
        <v>49.12</v>
      </c>
      <c r="F154" s="29">
        <v>3157</v>
      </c>
      <c r="G154" s="14">
        <v>3274</v>
      </c>
      <c r="H154" s="2">
        <v>45</v>
      </c>
      <c r="I154" s="2">
        <v>1</v>
      </c>
      <c r="J154" s="2" t="s">
        <v>192</v>
      </c>
      <c r="K154" s="2">
        <v>5</v>
      </c>
      <c r="L154" s="2">
        <v>6</v>
      </c>
      <c r="M154" s="16">
        <v>42576</v>
      </c>
      <c r="N154" s="2">
        <v>3</v>
      </c>
      <c r="O154" s="2" t="s">
        <v>192</v>
      </c>
      <c r="P154" s="2">
        <v>1</v>
      </c>
      <c r="Q154" s="2" t="s">
        <v>192</v>
      </c>
      <c r="R154" s="2">
        <f>SUM(N154,P154)</f>
        <v>4</v>
      </c>
    </row>
    <row r="155" spans="1:18" x14ac:dyDescent="0.25">
      <c r="A155" s="9" t="s">
        <v>750</v>
      </c>
      <c r="B155" s="9" t="s">
        <v>178</v>
      </c>
      <c r="C155" s="2" t="s">
        <v>8</v>
      </c>
      <c r="D155" s="12">
        <v>3.3</v>
      </c>
      <c r="E155" s="18">
        <v>49.34</v>
      </c>
      <c r="F155" s="29">
        <v>3029</v>
      </c>
      <c r="G155" s="14">
        <v>3128</v>
      </c>
      <c r="H155" s="2">
        <v>45</v>
      </c>
      <c r="I155" s="2">
        <v>1</v>
      </c>
      <c r="J155" s="2" t="s">
        <v>192</v>
      </c>
      <c r="K155" s="2">
        <v>5</v>
      </c>
      <c r="L155" s="2">
        <v>6</v>
      </c>
      <c r="M155" s="16">
        <v>42390</v>
      </c>
      <c r="N155" s="2">
        <v>3</v>
      </c>
      <c r="O155" s="2" t="s">
        <v>192</v>
      </c>
      <c r="P155" s="2" t="s">
        <v>192</v>
      </c>
      <c r="Q155" s="2" t="s">
        <v>192</v>
      </c>
      <c r="R155" s="2">
        <f>SUM(N155,P155)</f>
        <v>3</v>
      </c>
    </row>
    <row r="156" spans="1:18" x14ac:dyDescent="0.25">
      <c r="A156" s="9" t="s">
        <v>727</v>
      </c>
      <c r="B156" s="9" t="s">
        <v>186</v>
      </c>
      <c r="C156" s="2" t="s">
        <v>435</v>
      </c>
      <c r="D156" s="12">
        <v>5.07</v>
      </c>
      <c r="E156" s="18">
        <v>53.7</v>
      </c>
      <c r="F156" s="29">
        <v>4369</v>
      </c>
      <c r="G156" s="14">
        <v>4596</v>
      </c>
      <c r="H156" s="2">
        <v>43</v>
      </c>
      <c r="I156" s="2">
        <v>1</v>
      </c>
      <c r="J156" s="2" t="s">
        <v>192</v>
      </c>
      <c r="K156" s="2" t="s">
        <v>192</v>
      </c>
      <c r="L156" s="2">
        <v>1</v>
      </c>
      <c r="M156" s="16">
        <v>41292</v>
      </c>
      <c r="N156" s="2">
        <v>8</v>
      </c>
      <c r="O156" s="2" t="s">
        <v>192</v>
      </c>
      <c r="P156" s="2" t="s">
        <v>192</v>
      </c>
      <c r="Q156" s="2" t="s">
        <v>192</v>
      </c>
      <c r="R156" s="2">
        <f>SUM(N156,P156)</f>
        <v>8</v>
      </c>
    </row>
    <row r="157" spans="1:18" x14ac:dyDescent="0.25">
      <c r="A157" s="9" t="s">
        <v>719</v>
      </c>
      <c r="B157" s="9" t="s">
        <v>171</v>
      </c>
      <c r="C157" s="2" t="s">
        <v>8</v>
      </c>
      <c r="D157" s="12">
        <v>3.58</v>
      </c>
      <c r="E157" s="18">
        <v>40.6</v>
      </c>
      <c r="F157" s="29">
        <v>3386</v>
      </c>
      <c r="G157" s="14">
        <v>3660</v>
      </c>
      <c r="H157" s="2">
        <v>42</v>
      </c>
      <c r="I157" s="2">
        <v>1</v>
      </c>
      <c r="J157" s="2" t="s">
        <v>192</v>
      </c>
      <c r="K157" s="2">
        <v>2</v>
      </c>
      <c r="L157" s="2">
        <v>3</v>
      </c>
      <c r="M157" s="16">
        <v>41248</v>
      </c>
      <c r="N157" s="2">
        <v>6</v>
      </c>
      <c r="O157" s="2" t="s">
        <v>192</v>
      </c>
      <c r="P157" s="2" t="s">
        <v>192</v>
      </c>
      <c r="Q157" s="2" t="s">
        <v>192</v>
      </c>
      <c r="R157" s="2">
        <f>SUM(N157,P157)</f>
        <v>6</v>
      </c>
    </row>
    <row r="158" spans="1:18" x14ac:dyDescent="0.25">
      <c r="A158" s="9" t="s">
        <v>755</v>
      </c>
      <c r="B158" s="9" t="s">
        <v>181</v>
      </c>
      <c r="C158" s="2" t="s">
        <v>8</v>
      </c>
      <c r="D158" s="12">
        <v>3.3</v>
      </c>
      <c r="E158" s="18">
        <v>49.37</v>
      </c>
      <c r="F158" s="29">
        <v>3084</v>
      </c>
      <c r="G158" s="14">
        <v>3183</v>
      </c>
      <c r="H158" s="2">
        <v>45</v>
      </c>
      <c r="I158" s="2">
        <v>1</v>
      </c>
      <c r="J158" s="2" t="s">
        <v>192</v>
      </c>
      <c r="K158" s="2">
        <v>6</v>
      </c>
      <c r="L158" s="2">
        <v>7</v>
      </c>
      <c r="M158" s="16">
        <v>42576</v>
      </c>
      <c r="N158" s="2">
        <v>3</v>
      </c>
      <c r="O158" s="2" t="s">
        <v>192</v>
      </c>
      <c r="P158" s="2" t="s">
        <v>192</v>
      </c>
      <c r="Q158" s="2" t="s">
        <v>192</v>
      </c>
      <c r="R158" s="2">
        <f>SUM(N158,P158)</f>
        <v>3</v>
      </c>
    </row>
    <row r="159" spans="1:18" x14ac:dyDescent="0.25">
      <c r="A159" s="9" t="s">
        <v>691</v>
      </c>
      <c r="B159" s="9" t="s">
        <v>159</v>
      </c>
      <c r="C159" s="2" t="s">
        <v>8</v>
      </c>
      <c r="D159" s="12">
        <v>2.2200000000000002</v>
      </c>
      <c r="E159" s="18">
        <v>60.8</v>
      </c>
      <c r="F159" s="29">
        <v>2388</v>
      </c>
      <c r="G159" s="14">
        <v>2457</v>
      </c>
      <c r="H159" s="2">
        <v>41</v>
      </c>
      <c r="I159" s="2">
        <v>1</v>
      </c>
      <c r="J159" s="2" t="s">
        <v>192</v>
      </c>
      <c r="K159" s="2" t="s">
        <v>192</v>
      </c>
      <c r="L159" s="2">
        <v>1</v>
      </c>
      <c r="M159" s="16">
        <v>39221</v>
      </c>
      <c r="N159" s="2">
        <v>5</v>
      </c>
      <c r="O159" s="2" t="s">
        <v>192</v>
      </c>
      <c r="P159" s="2" t="s">
        <v>192</v>
      </c>
      <c r="Q159" s="2" t="s">
        <v>192</v>
      </c>
      <c r="R159" s="2">
        <f>SUM(N159,P159)</f>
        <v>5</v>
      </c>
    </row>
    <row r="160" spans="1:18" x14ac:dyDescent="0.25">
      <c r="A160" s="9" t="s">
        <v>802</v>
      </c>
      <c r="B160" s="9" t="s">
        <v>430</v>
      </c>
      <c r="C160" s="2" t="s">
        <v>8</v>
      </c>
      <c r="D160" s="12">
        <v>2.98</v>
      </c>
      <c r="E160" s="18">
        <v>68</v>
      </c>
      <c r="F160" s="29">
        <v>2696</v>
      </c>
      <c r="G160" s="14">
        <v>2886</v>
      </c>
      <c r="H160" s="2">
        <v>45</v>
      </c>
      <c r="I160" s="2">
        <v>1</v>
      </c>
      <c r="J160" s="2" t="s">
        <v>192</v>
      </c>
      <c r="K160" s="2" t="s">
        <v>192</v>
      </c>
      <c r="L160" s="2">
        <v>1</v>
      </c>
      <c r="M160" s="16">
        <v>43741</v>
      </c>
      <c r="N160" s="13">
        <v>6</v>
      </c>
      <c r="O160" s="32" t="s">
        <v>192</v>
      </c>
      <c r="P160" s="2" t="s">
        <v>192</v>
      </c>
      <c r="Q160" s="2" t="s">
        <v>192</v>
      </c>
      <c r="R160" s="2">
        <f>SUM(N160,P160)</f>
        <v>6</v>
      </c>
    </row>
    <row r="161" spans="1:18" x14ac:dyDescent="0.25">
      <c r="A161" s="9" t="s">
        <v>761</v>
      </c>
      <c r="B161" s="9" t="s">
        <v>182</v>
      </c>
      <c r="C161" s="2" t="s">
        <v>8</v>
      </c>
      <c r="D161" s="12">
        <v>2.75</v>
      </c>
      <c r="E161" s="18">
        <v>63.9</v>
      </c>
      <c r="F161" s="29">
        <v>2701</v>
      </c>
      <c r="G161" s="14">
        <v>2857</v>
      </c>
      <c r="H161" s="2">
        <v>44</v>
      </c>
      <c r="I161" s="2">
        <v>1</v>
      </c>
      <c r="J161" s="2" t="s">
        <v>192</v>
      </c>
      <c r="K161" s="2" t="s">
        <v>192</v>
      </c>
      <c r="L161" s="2">
        <v>1</v>
      </c>
      <c r="M161" s="16">
        <v>42696</v>
      </c>
      <c r="N161" s="2">
        <v>7</v>
      </c>
      <c r="O161" s="2" t="s">
        <v>192</v>
      </c>
      <c r="P161" s="2" t="s">
        <v>192</v>
      </c>
      <c r="Q161" s="2" t="s">
        <v>192</v>
      </c>
      <c r="R161" s="2">
        <f>SUM(N161,P161)</f>
        <v>7</v>
      </c>
    </row>
    <row r="162" spans="1:18" x14ac:dyDescent="0.25">
      <c r="A162" s="9" t="s">
        <v>739</v>
      </c>
      <c r="B162" s="9" t="s">
        <v>176</v>
      </c>
      <c r="C162" s="2" t="s">
        <v>8</v>
      </c>
      <c r="D162" s="12">
        <v>2.74</v>
      </c>
      <c r="E162" s="18">
        <v>55.47</v>
      </c>
      <c r="F162" s="29">
        <v>2684</v>
      </c>
      <c r="G162" s="14">
        <v>2755</v>
      </c>
      <c r="H162" s="2">
        <v>44</v>
      </c>
      <c r="I162" s="2">
        <v>1</v>
      </c>
      <c r="J162" s="2" t="s">
        <v>192</v>
      </c>
      <c r="K162" s="2">
        <v>2</v>
      </c>
      <c r="L162" s="2">
        <v>3</v>
      </c>
      <c r="M162" s="16">
        <v>42013</v>
      </c>
      <c r="N162" s="2">
        <v>3</v>
      </c>
      <c r="O162" s="2" t="s">
        <v>192</v>
      </c>
      <c r="P162" s="2" t="s">
        <v>192</v>
      </c>
      <c r="Q162" s="2" t="s">
        <v>192</v>
      </c>
      <c r="R162" s="2">
        <f>SUM(N162,P162)</f>
        <v>3</v>
      </c>
    </row>
    <row r="163" spans="1:18" x14ac:dyDescent="0.25">
      <c r="A163" s="9" t="s">
        <v>151</v>
      </c>
      <c r="B163" s="9" t="s">
        <v>152</v>
      </c>
      <c r="C163" s="2" t="s">
        <v>8</v>
      </c>
      <c r="D163" s="12">
        <v>2.37</v>
      </c>
      <c r="E163" s="18">
        <v>60.2</v>
      </c>
      <c r="F163" s="29">
        <v>2456</v>
      </c>
      <c r="G163" s="14">
        <v>2528</v>
      </c>
      <c r="H163" s="2">
        <v>43</v>
      </c>
      <c r="I163" s="2">
        <v>1</v>
      </c>
      <c r="J163" s="2" t="s">
        <v>192</v>
      </c>
      <c r="K163" s="2" t="s">
        <v>192</v>
      </c>
      <c r="L163" s="2">
        <v>1</v>
      </c>
      <c r="M163" s="16">
        <v>39221</v>
      </c>
      <c r="N163" s="2">
        <v>11</v>
      </c>
      <c r="O163" s="2" t="s">
        <v>192</v>
      </c>
      <c r="P163" s="2" t="s">
        <v>192</v>
      </c>
      <c r="Q163" s="2" t="s">
        <v>192</v>
      </c>
      <c r="R163" s="2">
        <f>SUM(N163,P163)</f>
        <v>11</v>
      </c>
    </row>
    <row r="164" spans="1:18" x14ac:dyDescent="0.25">
      <c r="A164" s="9" t="s">
        <v>745</v>
      </c>
      <c r="B164" s="9" t="s">
        <v>185</v>
      </c>
      <c r="C164" s="2" t="s">
        <v>435</v>
      </c>
      <c r="D164" s="12">
        <v>2.66</v>
      </c>
      <c r="E164" s="18">
        <v>53.1</v>
      </c>
      <c r="F164" s="29">
        <v>2679</v>
      </c>
      <c r="G164" s="14">
        <v>2762</v>
      </c>
      <c r="H164" s="2">
        <v>43</v>
      </c>
      <c r="I164" s="2">
        <v>1</v>
      </c>
      <c r="J164" s="2" t="s">
        <v>192</v>
      </c>
      <c r="K164" s="2" t="s">
        <v>192</v>
      </c>
      <c r="L164" s="2">
        <v>1</v>
      </c>
      <c r="M164" s="16">
        <v>42181</v>
      </c>
      <c r="N164" s="2">
        <v>9</v>
      </c>
      <c r="O164" s="2" t="s">
        <v>192</v>
      </c>
      <c r="P164" s="2" t="s">
        <v>192</v>
      </c>
      <c r="Q164" s="2" t="s">
        <v>192</v>
      </c>
      <c r="R164" s="2">
        <f>SUM(N164,P164)</f>
        <v>9</v>
      </c>
    </row>
    <row r="165" spans="1:18" x14ac:dyDescent="0.25">
      <c r="A165" s="9" t="s">
        <v>797</v>
      </c>
      <c r="B165" s="9" t="s">
        <v>184</v>
      </c>
      <c r="C165" s="2" t="s">
        <v>8</v>
      </c>
      <c r="D165" s="12">
        <v>2.63</v>
      </c>
      <c r="E165" s="18">
        <v>63.3</v>
      </c>
      <c r="F165" s="29">
        <v>2693</v>
      </c>
      <c r="G165" s="14">
        <v>2787</v>
      </c>
      <c r="H165" s="2">
        <v>43</v>
      </c>
      <c r="I165" s="2">
        <v>1</v>
      </c>
      <c r="J165" s="2" t="s">
        <v>192</v>
      </c>
      <c r="K165" s="2" t="s">
        <v>192</v>
      </c>
      <c r="L165" s="2">
        <v>1</v>
      </c>
      <c r="M165" s="16">
        <v>43515</v>
      </c>
      <c r="N165" s="2">
        <v>12</v>
      </c>
      <c r="O165" s="2" t="s">
        <v>192</v>
      </c>
      <c r="P165" s="2" t="s">
        <v>192</v>
      </c>
      <c r="Q165" s="2" t="s">
        <v>192</v>
      </c>
      <c r="R165" s="2">
        <f>SUM(N165,P165)</f>
        <v>12</v>
      </c>
    </row>
    <row r="166" spans="1:18" x14ac:dyDescent="0.25">
      <c r="A166" s="9" t="s">
        <v>673</v>
      </c>
      <c r="B166" s="9" t="s">
        <v>167</v>
      </c>
      <c r="C166" s="2" t="s">
        <v>8</v>
      </c>
      <c r="D166" s="12">
        <v>2.4300000000000002</v>
      </c>
      <c r="E166" s="18">
        <v>59.4</v>
      </c>
      <c r="F166" s="29">
        <v>2537</v>
      </c>
      <c r="G166" s="14">
        <v>2642</v>
      </c>
      <c r="H166" s="2">
        <v>44</v>
      </c>
      <c r="I166" s="2">
        <v>1</v>
      </c>
      <c r="J166" s="2" t="s">
        <v>192</v>
      </c>
      <c r="K166" s="2" t="s">
        <v>192</v>
      </c>
      <c r="L166" s="2">
        <v>1</v>
      </c>
      <c r="M166" s="16">
        <v>37847</v>
      </c>
      <c r="N166" s="2">
        <v>8</v>
      </c>
      <c r="O166" s="2" t="s">
        <v>192</v>
      </c>
      <c r="P166" s="2" t="s">
        <v>192</v>
      </c>
      <c r="Q166" s="2" t="s">
        <v>192</v>
      </c>
      <c r="R166" s="2">
        <f>SUM(N166,P166)</f>
        <v>8</v>
      </c>
    </row>
    <row r="167" spans="1:18" x14ac:dyDescent="0.25">
      <c r="A167" s="9" t="s">
        <v>746</v>
      </c>
      <c r="B167" s="9" t="s">
        <v>177</v>
      </c>
      <c r="C167" s="2" t="s">
        <v>8</v>
      </c>
      <c r="D167" s="12">
        <v>2.4300000000000002</v>
      </c>
      <c r="E167" s="18">
        <v>59.5</v>
      </c>
      <c r="F167" s="29">
        <v>2501</v>
      </c>
      <c r="G167" s="14">
        <v>2602</v>
      </c>
      <c r="H167" s="2">
        <v>44</v>
      </c>
      <c r="I167" s="2">
        <v>1</v>
      </c>
      <c r="J167" s="2" t="s">
        <v>192</v>
      </c>
      <c r="K167" s="2" t="s">
        <v>192</v>
      </c>
      <c r="L167" s="2">
        <v>1</v>
      </c>
      <c r="M167" s="16">
        <v>42194</v>
      </c>
      <c r="N167" s="32">
        <v>8</v>
      </c>
      <c r="O167" s="2" t="s">
        <v>192</v>
      </c>
      <c r="P167" s="2" t="s">
        <v>192</v>
      </c>
      <c r="Q167" s="2" t="s">
        <v>192</v>
      </c>
      <c r="R167" s="2">
        <f>SUM(N167,P167)</f>
        <v>8</v>
      </c>
    </row>
    <row r="168" spans="1:18" x14ac:dyDescent="0.25">
      <c r="A168" s="9" t="s">
        <v>161</v>
      </c>
      <c r="B168" s="9" t="s">
        <v>162</v>
      </c>
      <c r="C168" s="2" t="s">
        <v>8</v>
      </c>
      <c r="D168" s="12">
        <v>2.11</v>
      </c>
      <c r="E168" s="18">
        <v>60.1</v>
      </c>
      <c r="F168" s="29">
        <v>2212</v>
      </c>
      <c r="G168" s="14">
        <v>2327</v>
      </c>
      <c r="H168" s="2">
        <v>44</v>
      </c>
      <c r="I168" s="2">
        <v>1</v>
      </c>
      <c r="J168" s="2" t="s">
        <v>192</v>
      </c>
      <c r="K168" s="2" t="s">
        <v>192</v>
      </c>
      <c r="L168" s="2">
        <v>1</v>
      </c>
      <c r="M168" s="16">
        <v>41648</v>
      </c>
      <c r="N168" s="2">
        <v>6</v>
      </c>
      <c r="O168" s="2" t="s">
        <v>192</v>
      </c>
      <c r="P168" s="2" t="s">
        <v>192</v>
      </c>
      <c r="Q168" s="2" t="s">
        <v>192</v>
      </c>
      <c r="R168" s="2">
        <f>SUM(N168,P168)</f>
        <v>6</v>
      </c>
    </row>
    <row r="169" spans="1:18" x14ac:dyDescent="0.25">
      <c r="A169" s="9" t="s">
        <v>788</v>
      </c>
      <c r="B169" s="9" t="s">
        <v>164</v>
      </c>
      <c r="C169" s="2" t="s">
        <v>8</v>
      </c>
      <c r="D169" s="12">
        <v>3.95</v>
      </c>
      <c r="E169" s="18">
        <v>47.35</v>
      </c>
      <c r="F169" s="29">
        <v>3578</v>
      </c>
      <c r="G169" s="14">
        <v>3733</v>
      </c>
      <c r="H169" s="2">
        <v>41</v>
      </c>
      <c r="I169" s="2">
        <v>1</v>
      </c>
      <c r="J169" s="2" t="s">
        <v>192</v>
      </c>
      <c r="K169" s="2">
        <v>6</v>
      </c>
      <c r="L169" s="2">
        <v>7</v>
      </c>
      <c r="M169" s="16">
        <v>43185</v>
      </c>
      <c r="N169" s="2">
        <v>3</v>
      </c>
      <c r="O169" s="2" t="s">
        <v>192</v>
      </c>
      <c r="P169" s="2" t="s">
        <v>192</v>
      </c>
      <c r="Q169" s="2" t="s">
        <v>192</v>
      </c>
      <c r="R169" s="2">
        <f>SUM(N169,P169)</f>
        <v>3</v>
      </c>
    </row>
    <row r="170" spans="1:18" x14ac:dyDescent="0.25">
      <c r="A170" s="9" t="s">
        <v>732</v>
      </c>
      <c r="B170" s="9" t="s">
        <v>154</v>
      </c>
      <c r="C170" s="2" t="s">
        <v>8</v>
      </c>
      <c r="D170" s="12">
        <v>3.74</v>
      </c>
      <c r="E170" s="18">
        <v>47.54</v>
      </c>
      <c r="F170" s="29">
        <v>3282</v>
      </c>
      <c r="G170" s="14">
        <v>3495</v>
      </c>
      <c r="H170" s="2">
        <v>42</v>
      </c>
      <c r="I170" s="2">
        <v>1</v>
      </c>
      <c r="J170" s="2" t="s">
        <v>192</v>
      </c>
      <c r="K170" s="2">
        <v>3</v>
      </c>
      <c r="L170" s="2">
        <v>4</v>
      </c>
      <c r="M170" s="16">
        <v>41829</v>
      </c>
      <c r="N170" s="2">
        <v>3</v>
      </c>
      <c r="O170" s="2" t="s">
        <v>192</v>
      </c>
      <c r="P170" s="2" t="s">
        <v>192</v>
      </c>
      <c r="Q170" s="2" t="s">
        <v>192</v>
      </c>
      <c r="R170" s="2">
        <f>SUM(N170,P170)</f>
        <v>3</v>
      </c>
    </row>
    <row r="171" spans="1:18" x14ac:dyDescent="0.25">
      <c r="A171" s="9" t="s">
        <v>668</v>
      </c>
      <c r="B171" s="9" t="s">
        <v>157</v>
      </c>
      <c r="C171" s="2" t="s">
        <v>8</v>
      </c>
      <c r="D171" s="12">
        <v>3.57</v>
      </c>
      <c r="E171" s="18">
        <v>47.7</v>
      </c>
      <c r="F171" s="29">
        <v>3171</v>
      </c>
      <c r="G171" s="14">
        <v>3305</v>
      </c>
      <c r="H171" s="2">
        <v>41</v>
      </c>
      <c r="I171" s="2">
        <v>1</v>
      </c>
      <c r="J171" s="2" t="s">
        <v>192</v>
      </c>
      <c r="K171" s="2" t="s">
        <v>192</v>
      </c>
      <c r="L171" s="2">
        <v>1</v>
      </c>
      <c r="M171" s="16">
        <v>42293</v>
      </c>
      <c r="N171" s="2">
        <v>3</v>
      </c>
      <c r="O171" s="2" t="s">
        <v>192</v>
      </c>
      <c r="P171" s="2" t="s">
        <v>192</v>
      </c>
      <c r="Q171" s="2" t="s">
        <v>192</v>
      </c>
      <c r="R171" s="2">
        <f>SUM(N171,P171)</f>
        <v>3</v>
      </c>
    </row>
    <row r="172" spans="1:18" x14ac:dyDescent="0.25">
      <c r="A172" s="9" t="s">
        <v>668</v>
      </c>
      <c r="B172" s="9" t="s">
        <v>36</v>
      </c>
      <c r="C172" s="2" t="s">
        <v>8</v>
      </c>
      <c r="D172" s="12">
        <v>3.95</v>
      </c>
      <c r="E172" s="18">
        <v>47.35</v>
      </c>
      <c r="F172" s="29">
        <v>3556</v>
      </c>
      <c r="G172" s="14">
        <v>3710</v>
      </c>
      <c r="H172" s="2">
        <v>41</v>
      </c>
      <c r="I172" s="2">
        <v>1</v>
      </c>
      <c r="J172" s="2" t="s">
        <v>192</v>
      </c>
      <c r="K172" s="2">
        <v>4</v>
      </c>
      <c r="L172" s="2">
        <v>5</v>
      </c>
      <c r="M172" s="16">
        <v>37099</v>
      </c>
      <c r="N172" s="2">
        <v>3</v>
      </c>
      <c r="O172" s="2" t="s">
        <v>192</v>
      </c>
      <c r="P172" s="2" t="s">
        <v>192</v>
      </c>
      <c r="Q172" s="2" t="s">
        <v>192</v>
      </c>
      <c r="R172" s="2">
        <f>SUM(N172,P172)</f>
        <v>3</v>
      </c>
    </row>
    <row r="173" spans="1:18" x14ac:dyDescent="0.25">
      <c r="A173" s="9" t="s">
        <v>668</v>
      </c>
      <c r="B173" s="9" t="s">
        <v>146</v>
      </c>
      <c r="C173" s="2" t="s">
        <v>8</v>
      </c>
      <c r="D173" s="12">
        <v>3.95</v>
      </c>
      <c r="E173" s="18">
        <v>47.35</v>
      </c>
      <c r="F173" s="29">
        <v>3559</v>
      </c>
      <c r="G173" s="14">
        <v>3711</v>
      </c>
      <c r="H173" s="2">
        <v>41</v>
      </c>
      <c r="I173" s="2">
        <v>1</v>
      </c>
      <c r="J173" s="2" t="s">
        <v>192</v>
      </c>
      <c r="K173" s="2">
        <v>7</v>
      </c>
      <c r="L173" s="2">
        <v>8</v>
      </c>
      <c r="M173" s="16">
        <v>41324</v>
      </c>
      <c r="N173" s="2">
        <v>3</v>
      </c>
      <c r="O173" s="2" t="s">
        <v>192</v>
      </c>
      <c r="P173" s="2" t="s">
        <v>192</v>
      </c>
      <c r="Q173" s="2" t="s">
        <v>192</v>
      </c>
      <c r="R173" s="2">
        <f>SUM(N173,P173)</f>
        <v>3</v>
      </c>
    </row>
    <row r="174" spans="1:18" x14ac:dyDescent="0.25">
      <c r="A174" s="9" t="s">
        <v>702</v>
      </c>
      <c r="B174" s="9" t="s">
        <v>102</v>
      </c>
      <c r="C174" s="2" t="s">
        <v>8</v>
      </c>
      <c r="D174" s="12">
        <v>3.57</v>
      </c>
      <c r="E174" s="18">
        <v>47.7</v>
      </c>
      <c r="F174" s="29">
        <v>3181</v>
      </c>
      <c r="G174" s="14">
        <v>3306</v>
      </c>
      <c r="H174" s="2">
        <v>41</v>
      </c>
      <c r="I174" s="2">
        <v>1</v>
      </c>
      <c r="J174" s="2" t="s">
        <v>192</v>
      </c>
      <c r="K174" s="2" t="s">
        <v>192</v>
      </c>
      <c r="L174" s="2">
        <v>1</v>
      </c>
      <c r="M174" s="16">
        <v>40725</v>
      </c>
      <c r="N174" s="2">
        <v>3</v>
      </c>
      <c r="O174" s="2" t="s">
        <v>192</v>
      </c>
      <c r="P174" s="2" t="s">
        <v>192</v>
      </c>
      <c r="Q174" s="2" t="s">
        <v>192</v>
      </c>
      <c r="R174" s="2">
        <f>SUM(N174,P174)</f>
        <v>3</v>
      </c>
    </row>
    <row r="175" spans="1:18" x14ac:dyDescent="0.25">
      <c r="A175" s="9" t="s">
        <v>704</v>
      </c>
      <c r="B175" s="9" t="s">
        <v>123</v>
      </c>
      <c r="C175" s="2" t="s">
        <v>8</v>
      </c>
      <c r="D175" s="12">
        <v>3.57</v>
      </c>
      <c r="E175" s="18">
        <v>47.7</v>
      </c>
      <c r="F175" s="29">
        <v>3182</v>
      </c>
      <c r="G175" s="14">
        <v>3308</v>
      </c>
      <c r="H175" s="2">
        <v>41</v>
      </c>
      <c r="I175" s="2">
        <v>1</v>
      </c>
      <c r="J175" s="2" t="s">
        <v>192</v>
      </c>
      <c r="K175" s="2" t="s">
        <v>192</v>
      </c>
      <c r="L175" s="2">
        <v>1</v>
      </c>
      <c r="M175" s="16">
        <v>40878</v>
      </c>
      <c r="N175" s="2">
        <v>3</v>
      </c>
      <c r="O175" s="2" t="s">
        <v>192</v>
      </c>
      <c r="P175" s="2" t="s">
        <v>192</v>
      </c>
      <c r="Q175" s="2" t="s">
        <v>192</v>
      </c>
      <c r="R175" s="2">
        <f>SUM(N175,P175)</f>
        <v>3</v>
      </c>
    </row>
    <row r="176" spans="1:18" x14ac:dyDescent="0.25">
      <c r="A176" s="9" t="s">
        <v>703</v>
      </c>
      <c r="B176" s="9" t="s">
        <v>131</v>
      </c>
      <c r="C176" s="2" t="s">
        <v>8</v>
      </c>
      <c r="D176" s="12">
        <v>3.57</v>
      </c>
      <c r="E176" s="18">
        <v>47.7</v>
      </c>
      <c r="F176" s="29">
        <v>3181</v>
      </c>
      <c r="G176" s="14">
        <v>3308</v>
      </c>
      <c r="H176" s="2">
        <v>41</v>
      </c>
      <c r="I176" s="2">
        <v>1</v>
      </c>
      <c r="J176" s="2" t="s">
        <v>192</v>
      </c>
      <c r="K176" s="2" t="s">
        <v>192</v>
      </c>
      <c r="L176" s="2">
        <v>1</v>
      </c>
      <c r="M176" s="16">
        <v>40878</v>
      </c>
      <c r="N176" s="2">
        <v>3</v>
      </c>
      <c r="O176" s="2" t="s">
        <v>192</v>
      </c>
      <c r="P176" s="2" t="s">
        <v>192</v>
      </c>
      <c r="Q176" s="2" t="s">
        <v>192</v>
      </c>
      <c r="R176" s="2">
        <f>SUM(N176,P176)</f>
        <v>3</v>
      </c>
    </row>
    <row r="177" spans="1:18" x14ac:dyDescent="0.25">
      <c r="A177" s="9" t="s">
        <v>705</v>
      </c>
      <c r="B177" s="9" t="s">
        <v>140</v>
      </c>
      <c r="C177" s="2" t="s">
        <v>8</v>
      </c>
      <c r="D177" s="12">
        <v>3.57</v>
      </c>
      <c r="E177" s="18">
        <v>47.7</v>
      </c>
      <c r="F177" s="29">
        <v>3180</v>
      </c>
      <c r="G177" s="14">
        <v>3306</v>
      </c>
      <c r="H177" s="2">
        <v>41</v>
      </c>
      <c r="I177" s="2">
        <v>1</v>
      </c>
      <c r="J177" s="2" t="s">
        <v>192</v>
      </c>
      <c r="K177" s="2" t="s">
        <v>192</v>
      </c>
      <c r="L177" s="2">
        <v>1</v>
      </c>
      <c r="M177" s="16">
        <v>40878</v>
      </c>
      <c r="N177" s="2">
        <v>3</v>
      </c>
      <c r="O177" s="2" t="s">
        <v>192</v>
      </c>
      <c r="P177" s="2" t="s">
        <v>192</v>
      </c>
      <c r="Q177" s="2" t="s">
        <v>192</v>
      </c>
      <c r="R177" s="2">
        <f>SUM(N177,P177)</f>
        <v>3</v>
      </c>
    </row>
    <row r="178" spans="1:18" x14ac:dyDescent="0.25">
      <c r="A178" s="9" t="s">
        <v>669</v>
      </c>
      <c r="B178" s="9" t="s">
        <v>12</v>
      </c>
      <c r="C178" s="2" t="s">
        <v>8</v>
      </c>
      <c r="D178" s="12">
        <v>2.59</v>
      </c>
      <c r="E178" s="18">
        <v>53.9</v>
      </c>
      <c r="F178" s="29">
        <v>2476</v>
      </c>
      <c r="G178" s="14">
        <v>2525</v>
      </c>
      <c r="H178" s="2">
        <v>42</v>
      </c>
      <c r="I178" s="2">
        <v>1</v>
      </c>
      <c r="J178" s="2" t="s">
        <v>192</v>
      </c>
      <c r="K178" s="2" t="s">
        <v>192</v>
      </c>
      <c r="L178" s="2">
        <v>1</v>
      </c>
      <c r="M178" s="16">
        <v>37485</v>
      </c>
      <c r="N178" s="32">
        <v>3</v>
      </c>
      <c r="O178" s="2" t="s">
        <v>192</v>
      </c>
      <c r="P178" s="2" t="s">
        <v>192</v>
      </c>
      <c r="Q178" s="2" t="s">
        <v>192</v>
      </c>
      <c r="R178" s="2">
        <f>SUM(N178,P178)</f>
        <v>3</v>
      </c>
    </row>
    <row r="179" spans="1:18" x14ac:dyDescent="0.25">
      <c r="A179" s="9" t="s">
        <v>793</v>
      </c>
      <c r="B179" s="9" t="s">
        <v>111</v>
      </c>
      <c r="C179" s="2" t="s">
        <v>8</v>
      </c>
      <c r="D179" s="12">
        <v>2.65</v>
      </c>
      <c r="E179" s="18">
        <v>53.3</v>
      </c>
      <c r="F179" s="29">
        <v>1625</v>
      </c>
      <c r="G179" s="14">
        <v>2617</v>
      </c>
      <c r="H179" s="2">
        <v>41</v>
      </c>
      <c r="I179" s="2">
        <v>1</v>
      </c>
      <c r="J179" s="2" t="s">
        <v>192</v>
      </c>
      <c r="K179" s="2" t="s">
        <v>192</v>
      </c>
      <c r="L179" s="2">
        <v>1</v>
      </c>
      <c r="M179" s="16">
        <v>43356</v>
      </c>
      <c r="N179" s="2">
        <v>3</v>
      </c>
      <c r="O179" s="2" t="s">
        <v>192</v>
      </c>
      <c r="P179" s="2" t="s">
        <v>192</v>
      </c>
      <c r="Q179" s="2" t="s">
        <v>192</v>
      </c>
      <c r="R179" s="2">
        <f>SUM(N179,P179)</f>
        <v>3</v>
      </c>
    </row>
    <row r="180" spans="1:18" x14ac:dyDescent="0.25">
      <c r="A180" s="9" t="s">
        <v>801</v>
      </c>
      <c r="B180" s="9" t="s">
        <v>429</v>
      </c>
      <c r="C180" s="2" t="s">
        <v>8</v>
      </c>
      <c r="D180" s="12">
        <v>2.65</v>
      </c>
      <c r="E180" s="18">
        <v>53.5</v>
      </c>
      <c r="F180" s="29">
        <v>2466</v>
      </c>
      <c r="G180" s="14">
        <v>2597</v>
      </c>
      <c r="H180" s="2">
        <v>41</v>
      </c>
      <c r="I180" s="2">
        <v>1</v>
      </c>
      <c r="J180" s="2" t="s">
        <v>192</v>
      </c>
      <c r="K180" s="2" t="s">
        <v>192</v>
      </c>
      <c r="L180" s="2">
        <v>1</v>
      </c>
      <c r="M180" s="16">
        <v>43724</v>
      </c>
      <c r="N180" s="13">
        <v>3</v>
      </c>
      <c r="O180" s="2" t="s">
        <v>192</v>
      </c>
      <c r="P180" s="2" t="s">
        <v>192</v>
      </c>
      <c r="Q180" s="2" t="s">
        <v>192</v>
      </c>
      <c r="R180" s="2">
        <f>SUM(N180,P180)</f>
        <v>3</v>
      </c>
    </row>
    <row r="181" spans="1:18" x14ac:dyDescent="0.25">
      <c r="A181" s="9" t="s">
        <v>729</v>
      </c>
      <c r="B181" s="9" t="s">
        <v>56</v>
      </c>
      <c r="C181" s="2" t="s">
        <v>435</v>
      </c>
      <c r="D181" s="12">
        <v>2.52</v>
      </c>
      <c r="E181" s="18">
        <v>53.8</v>
      </c>
      <c r="F181" s="29">
        <v>2292</v>
      </c>
      <c r="G181" s="14">
        <v>2448</v>
      </c>
      <c r="H181" s="2">
        <v>41</v>
      </c>
      <c r="I181" s="2">
        <v>1</v>
      </c>
      <c r="J181" s="2" t="s">
        <v>192</v>
      </c>
      <c r="K181" s="2" t="s">
        <v>192</v>
      </c>
      <c r="L181" s="2">
        <v>1</v>
      </c>
      <c r="M181" s="16">
        <v>41619</v>
      </c>
      <c r="N181" s="2">
        <v>3</v>
      </c>
      <c r="O181" s="2" t="s">
        <v>192</v>
      </c>
      <c r="P181" s="2" t="s">
        <v>192</v>
      </c>
      <c r="Q181" s="2" t="s">
        <v>192</v>
      </c>
      <c r="R181" s="2">
        <f>SUM(N181,P181)</f>
        <v>3</v>
      </c>
    </row>
    <row r="182" spans="1:18" x14ac:dyDescent="0.25">
      <c r="A182" s="9" t="s">
        <v>775</v>
      </c>
      <c r="B182" s="9" t="s">
        <v>89</v>
      </c>
      <c r="C182" s="2" t="s">
        <v>8</v>
      </c>
      <c r="D182" s="12">
        <v>2.57</v>
      </c>
      <c r="E182" s="18">
        <v>53.9</v>
      </c>
      <c r="F182" s="29">
        <v>2413</v>
      </c>
      <c r="G182" s="14">
        <v>2530</v>
      </c>
      <c r="H182" s="2">
        <v>40</v>
      </c>
      <c r="I182" s="2">
        <v>1</v>
      </c>
      <c r="J182" s="2" t="s">
        <v>192</v>
      </c>
      <c r="K182" s="2" t="s">
        <v>192</v>
      </c>
      <c r="L182" s="2">
        <v>1</v>
      </c>
      <c r="M182" s="16">
        <v>42910</v>
      </c>
      <c r="N182" s="2">
        <v>3</v>
      </c>
      <c r="O182" s="2" t="s">
        <v>192</v>
      </c>
      <c r="P182" s="2" t="s">
        <v>192</v>
      </c>
      <c r="Q182" s="2" t="s">
        <v>192</v>
      </c>
      <c r="R182" s="2">
        <f>SUM(N182,P182)</f>
        <v>3</v>
      </c>
    </row>
    <row r="183" spans="1:18" x14ac:dyDescent="0.25">
      <c r="A183" s="9" t="s">
        <v>773</v>
      </c>
      <c r="B183" s="9" t="s">
        <v>81</v>
      </c>
      <c r="C183" s="2" t="s">
        <v>435</v>
      </c>
      <c r="D183" s="12">
        <v>9.35</v>
      </c>
      <c r="E183" s="18">
        <v>40.69</v>
      </c>
      <c r="F183" s="29">
        <v>7118</v>
      </c>
      <c r="G183" s="14">
        <v>7460</v>
      </c>
      <c r="H183" s="2">
        <v>72</v>
      </c>
      <c r="I183" s="2">
        <v>1</v>
      </c>
      <c r="J183" s="2" t="s">
        <v>192</v>
      </c>
      <c r="K183" s="2">
        <v>5</v>
      </c>
      <c r="L183" s="2">
        <v>6</v>
      </c>
      <c r="M183" s="16">
        <v>42910</v>
      </c>
      <c r="N183" s="2">
        <v>15</v>
      </c>
      <c r="O183" s="2" t="s">
        <v>218</v>
      </c>
      <c r="P183" s="2">
        <v>1</v>
      </c>
      <c r="Q183" s="2" t="s">
        <v>562</v>
      </c>
      <c r="R183" s="2">
        <f>SUM(N183,P183)</f>
        <v>16</v>
      </c>
    </row>
    <row r="184" spans="1:18" x14ac:dyDescent="0.25">
      <c r="A184" s="9" t="s">
        <v>684</v>
      </c>
      <c r="B184" s="9" t="s">
        <v>13</v>
      </c>
      <c r="C184" s="2" t="s">
        <v>8</v>
      </c>
      <c r="D184" s="12">
        <v>7.75</v>
      </c>
      <c r="E184" s="18">
        <v>34.1</v>
      </c>
      <c r="F184" s="29">
        <v>4622</v>
      </c>
      <c r="G184" s="14">
        <v>5217</v>
      </c>
      <c r="H184" s="2">
        <v>38</v>
      </c>
      <c r="I184" s="2">
        <v>1</v>
      </c>
      <c r="J184" s="2" t="s">
        <v>192</v>
      </c>
      <c r="K184" s="2" t="s">
        <v>192</v>
      </c>
      <c r="L184" s="2">
        <v>1</v>
      </c>
      <c r="M184" s="16">
        <v>38904</v>
      </c>
      <c r="N184" s="2">
        <v>7</v>
      </c>
      <c r="O184" s="2" t="s">
        <v>241</v>
      </c>
      <c r="P184" s="2" t="s">
        <v>192</v>
      </c>
      <c r="Q184" s="2" t="s">
        <v>192</v>
      </c>
      <c r="R184" s="2">
        <f>SUM(N184,P184)</f>
        <v>7</v>
      </c>
    </row>
    <row r="185" spans="1:18" x14ac:dyDescent="0.25">
      <c r="A185" s="9" t="s">
        <v>677</v>
      </c>
      <c r="B185" s="9" t="s">
        <v>69</v>
      </c>
      <c r="C185" s="2" t="s">
        <v>8</v>
      </c>
      <c r="D185" s="12">
        <v>7.11</v>
      </c>
      <c r="E185" s="18">
        <v>41.39</v>
      </c>
      <c r="F185" s="29">
        <v>5676</v>
      </c>
      <c r="G185" s="14">
        <v>5941</v>
      </c>
      <c r="H185" s="2">
        <v>47</v>
      </c>
      <c r="I185" s="2">
        <v>1</v>
      </c>
      <c r="J185" s="2">
        <v>1</v>
      </c>
      <c r="K185" s="2">
        <v>3</v>
      </c>
      <c r="L185" s="2">
        <v>5</v>
      </c>
      <c r="M185" s="16">
        <v>38610</v>
      </c>
      <c r="N185" s="2">
        <v>14</v>
      </c>
      <c r="O185" s="2" t="s">
        <v>458</v>
      </c>
      <c r="P185" s="2">
        <v>2</v>
      </c>
      <c r="Q185" s="2" t="s">
        <v>192</v>
      </c>
      <c r="R185" s="2">
        <f>SUM(N185,P185)</f>
        <v>16</v>
      </c>
    </row>
    <row r="186" spans="1:18" x14ac:dyDescent="0.25">
      <c r="A186" s="21" t="s">
        <v>779</v>
      </c>
      <c r="B186" s="9" t="s">
        <v>90</v>
      </c>
      <c r="C186" s="2" t="s">
        <v>435</v>
      </c>
      <c r="D186" s="12">
        <v>7.47</v>
      </c>
      <c r="E186" s="18">
        <v>41.36</v>
      </c>
      <c r="F186" s="29">
        <v>6004</v>
      </c>
      <c r="G186" s="14">
        <v>6353</v>
      </c>
      <c r="H186" s="2">
        <v>68</v>
      </c>
      <c r="I186" s="2">
        <v>1</v>
      </c>
      <c r="J186" s="2" t="s">
        <v>192</v>
      </c>
      <c r="K186" s="2">
        <v>5</v>
      </c>
      <c r="L186" s="2">
        <v>6</v>
      </c>
      <c r="M186" s="16">
        <v>42910</v>
      </c>
      <c r="N186" s="2">
        <v>13</v>
      </c>
      <c r="O186" s="2" t="s">
        <v>196</v>
      </c>
      <c r="P186" s="2">
        <v>1</v>
      </c>
      <c r="Q186" s="2" t="s">
        <v>192</v>
      </c>
      <c r="R186" s="2">
        <f>SUM(N186,P186)</f>
        <v>14</v>
      </c>
    </row>
    <row r="187" spans="1:18" x14ac:dyDescent="0.25">
      <c r="A187" s="9"/>
      <c r="D187" s="12"/>
      <c r="E187" s="18"/>
      <c r="K187" s="2">
        <f>SUM(Table1[Pld])</f>
        <v>424</v>
      </c>
      <c r="M187" s="30"/>
      <c r="N187" s="2">
        <f>SUM(Table1[BGCs-Chr])</f>
        <v>1719</v>
      </c>
      <c r="P187" s="2">
        <f>SUM(Table1[BGCs-Pld])</f>
        <v>99</v>
      </c>
      <c r="R187" s="2">
        <f>SUM(Table1[Total BGCs])</f>
        <v>1818</v>
      </c>
    </row>
  </sheetData>
  <mergeCells count="2">
    <mergeCell ref="S3:T3"/>
    <mergeCell ref="T42:U4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34969-19C2-E74C-8097-37647191DDF8}">
  <dimension ref="A1:DB189"/>
  <sheetViews>
    <sheetView topLeftCell="A61" zoomScale="60" zoomScaleNormal="60" workbookViewId="0">
      <selection activeCell="B80" sqref="B80"/>
    </sheetView>
  </sheetViews>
  <sheetFormatPr defaultColWidth="11" defaultRowHeight="15.75" x14ac:dyDescent="0.25"/>
  <cols>
    <col min="1" max="1" width="67.375" bestFit="1" customWidth="1"/>
    <col min="2" max="2" width="19" bestFit="1" customWidth="1"/>
    <col min="3" max="3" width="22.875" customWidth="1"/>
    <col min="4" max="4" width="22.625" bestFit="1" customWidth="1"/>
    <col min="5" max="5" width="17" customWidth="1"/>
    <col min="6" max="6" width="17.5" bestFit="1" customWidth="1"/>
    <col min="7" max="7" width="23.5" bestFit="1" customWidth="1"/>
    <col min="8" max="8" width="17" customWidth="1"/>
    <col min="9" max="9" width="28.375" bestFit="1" customWidth="1"/>
    <col min="10" max="10" width="32.625" bestFit="1" customWidth="1"/>
    <col min="11" max="11" width="43.5" bestFit="1" customWidth="1"/>
    <col min="12" max="12" width="29.375" bestFit="1" customWidth="1"/>
    <col min="13" max="13" width="35.375" customWidth="1"/>
    <col min="14" max="14" width="21.125" bestFit="1" customWidth="1"/>
    <col min="15" max="15" width="60.125" bestFit="1" customWidth="1"/>
    <col min="16" max="16" width="33.625" customWidth="1"/>
    <col min="17" max="17" width="29" bestFit="1" customWidth="1"/>
    <col min="18" max="18" width="28.375" bestFit="1" customWidth="1"/>
    <col min="19" max="19" width="22.875" customWidth="1"/>
    <col min="20" max="20" width="29.5" customWidth="1"/>
    <col min="21" max="21" width="26.125" customWidth="1"/>
    <col min="22" max="22" width="25" bestFit="1" customWidth="1"/>
    <col min="23" max="23" width="29.125" bestFit="1" customWidth="1"/>
    <col min="24" max="24" width="23.5" bestFit="1" customWidth="1"/>
    <col min="25" max="25" width="17.625" bestFit="1" customWidth="1"/>
    <col min="26" max="26" width="49.125" bestFit="1" customWidth="1"/>
    <col min="27" max="27" width="35.125" bestFit="1" customWidth="1"/>
    <col min="28" max="28" width="23.625" bestFit="1" customWidth="1"/>
    <col min="29" max="29" width="30.125" bestFit="1" customWidth="1"/>
    <col min="30" max="30" width="19.5" customWidth="1"/>
    <col min="31" max="31" width="33.5" bestFit="1" customWidth="1"/>
    <col min="32" max="32" width="12" customWidth="1"/>
    <col min="33" max="33" width="24.375" bestFit="1" customWidth="1"/>
    <col min="34" max="34" width="17.875" bestFit="1" customWidth="1"/>
    <col min="35" max="35" width="22" bestFit="1" customWidth="1"/>
    <col min="36" max="36" width="29.875" bestFit="1" customWidth="1"/>
    <col min="37" max="37" width="13.625" customWidth="1"/>
    <col min="38" max="38" width="14" bestFit="1" customWidth="1"/>
    <col min="39" max="39" width="29.5" customWidth="1"/>
    <col min="40" max="40" width="23.5" bestFit="1" customWidth="1"/>
    <col min="41" max="41" width="26.125" bestFit="1" customWidth="1"/>
    <col min="42" max="42" width="32.625" bestFit="1" customWidth="1"/>
    <col min="43" max="43" width="19.875" bestFit="1" customWidth="1"/>
    <col min="44" max="44" width="32" customWidth="1"/>
    <col min="45" max="45" width="18.125" bestFit="1" customWidth="1"/>
    <col min="46" max="46" width="12.875" bestFit="1" customWidth="1"/>
    <col min="47" max="47" width="18.625" bestFit="1" customWidth="1"/>
    <col min="48" max="48" width="25.125" bestFit="1" customWidth="1"/>
    <col min="49" max="49" width="16.625" bestFit="1" customWidth="1"/>
    <col min="50" max="50" width="28.375" bestFit="1" customWidth="1"/>
    <col min="51" max="51" width="29.125" bestFit="1" customWidth="1"/>
    <col min="52" max="52" width="19" bestFit="1" customWidth="1"/>
    <col min="53" max="53" width="29.375" bestFit="1" customWidth="1"/>
    <col min="54" max="54" width="35.125" bestFit="1" customWidth="1"/>
    <col min="55" max="55" width="10.875" bestFit="1" customWidth="1"/>
    <col min="56" max="56" width="16.625" bestFit="1" customWidth="1"/>
    <col min="57" max="57" width="21.125" bestFit="1" customWidth="1"/>
    <col min="58" max="58" width="18.5" bestFit="1" customWidth="1"/>
    <col min="59" max="59" width="24.5" customWidth="1"/>
    <col min="60" max="60" width="17.875" customWidth="1"/>
    <col min="61" max="61" width="24" bestFit="1" customWidth="1"/>
    <col min="62" max="62" width="30.375" customWidth="1"/>
    <col min="63" max="63" width="25.875" bestFit="1" customWidth="1"/>
    <col min="64" max="64" width="12.5" bestFit="1" customWidth="1"/>
    <col min="65" max="65" width="24.5" bestFit="1" customWidth="1"/>
    <col min="66" max="66" width="33.125" bestFit="1" customWidth="1"/>
    <col min="67" max="67" width="21.875" bestFit="1" customWidth="1"/>
    <col min="68" max="68" width="20.125" bestFit="1" customWidth="1"/>
    <col min="69" max="69" width="26.625" bestFit="1" customWidth="1"/>
    <col min="70" max="70" width="29.5" bestFit="1" customWidth="1"/>
    <col min="71" max="71" width="18.625" customWidth="1"/>
    <col min="72" max="72" width="47.5" bestFit="1" customWidth="1"/>
    <col min="73" max="73" width="25.125" bestFit="1" customWidth="1"/>
    <col min="74" max="74" width="21" bestFit="1" customWidth="1"/>
    <col min="75" max="75" width="26.875" bestFit="1" customWidth="1"/>
    <col min="76" max="76" width="29.125" bestFit="1" customWidth="1"/>
    <col min="77" max="77" width="12.625" bestFit="1" customWidth="1"/>
    <col min="78" max="78" width="16.125" bestFit="1" customWidth="1"/>
    <col min="79" max="79" width="18.5" bestFit="1" customWidth="1"/>
    <col min="80" max="80" width="26.5" bestFit="1" customWidth="1"/>
    <col min="81" max="81" width="27" bestFit="1" customWidth="1"/>
    <col min="82" max="82" width="15.625" bestFit="1" customWidth="1"/>
    <col min="83" max="83" width="16.5" bestFit="1" customWidth="1"/>
    <col min="84" max="84" width="18.125" bestFit="1" customWidth="1"/>
    <col min="85" max="85" width="14.875" bestFit="1" customWidth="1"/>
    <col min="86" max="86" width="25.875" bestFit="1" customWidth="1"/>
    <col min="87" max="88" width="21" bestFit="1" customWidth="1"/>
    <col min="89" max="89" width="18.375" bestFit="1" customWidth="1"/>
    <col min="90" max="90" width="29.5" customWidth="1"/>
    <col min="91" max="91" width="17.5" bestFit="1" customWidth="1"/>
    <col min="92" max="92" width="18.125" bestFit="1" customWidth="1"/>
    <col min="93" max="93" width="24.5" bestFit="1" customWidth="1"/>
    <col min="94" max="94" width="12.875" bestFit="1" customWidth="1"/>
    <col min="95" max="95" width="19.125" bestFit="1" customWidth="1"/>
    <col min="96" max="96" width="12.875" bestFit="1" customWidth="1"/>
    <col min="97" max="97" width="16.375" bestFit="1" customWidth="1"/>
    <col min="98" max="98" width="16.625" bestFit="1" customWidth="1"/>
    <col min="99" max="99" width="22.625" bestFit="1" customWidth="1"/>
    <col min="100" max="100" width="16.625" customWidth="1"/>
    <col min="101" max="101" width="10.25" bestFit="1" customWidth="1"/>
    <col min="102" max="102" width="13.5" bestFit="1" customWidth="1"/>
    <col min="103" max="103" width="21" bestFit="1" customWidth="1"/>
    <col min="104" max="104" width="18" bestFit="1" customWidth="1"/>
    <col min="105" max="105" width="15.375" bestFit="1" customWidth="1"/>
    <col min="106" max="106" width="16.125" bestFit="1" customWidth="1"/>
  </cols>
  <sheetData>
    <row r="1" spans="1:106" x14ac:dyDescent="0.25">
      <c r="A1" s="4" t="s">
        <v>923</v>
      </c>
      <c r="B1" s="4" t="s">
        <v>930</v>
      </c>
      <c r="C1" s="4" t="s">
        <v>190</v>
      </c>
      <c r="D1" s="4" t="s">
        <v>540</v>
      </c>
      <c r="E1" s="4" t="s">
        <v>436</v>
      </c>
      <c r="F1" s="4" t="s">
        <v>448</v>
      </c>
      <c r="G1" s="4" t="s">
        <v>514</v>
      </c>
      <c r="H1" s="4" t="s">
        <v>437</v>
      </c>
      <c r="I1" s="4" t="s">
        <v>546</v>
      </c>
      <c r="J1" s="4" t="s">
        <v>463</v>
      </c>
      <c r="K1" s="4" t="s">
        <v>497</v>
      </c>
      <c r="L1" s="4" t="s">
        <v>462</v>
      </c>
      <c r="M1" s="4" t="s">
        <v>465</v>
      </c>
      <c r="N1" s="4" t="s">
        <v>525</v>
      </c>
      <c r="O1" s="4" t="s">
        <v>590</v>
      </c>
      <c r="P1" s="4" t="s">
        <v>555</v>
      </c>
      <c r="Q1" s="4" t="s">
        <v>496</v>
      </c>
      <c r="R1" s="4" t="s">
        <v>576</v>
      </c>
      <c r="S1" s="4" t="s">
        <v>464</v>
      </c>
      <c r="T1" s="4" t="s">
        <v>468</v>
      </c>
      <c r="U1" s="4" t="s">
        <v>470</v>
      </c>
      <c r="V1" s="4" t="s">
        <v>472</v>
      </c>
      <c r="W1" s="4" t="s">
        <v>500</v>
      </c>
      <c r="X1" s="4" t="s">
        <v>473</v>
      </c>
      <c r="Y1" s="4" t="s">
        <v>460</v>
      </c>
      <c r="Z1" s="4" t="s">
        <v>564</v>
      </c>
      <c r="AA1" s="4" t="s">
        <v>523</v>
      </c>
      <c r="AB1" s="4" t="s">
        <v>466</v>
      </c>
      <c r="AC1" s="4" t="s">
        <v>493</v>
      </c>
      <c r="AD1" s="4" t="s">
        <v>516</v>
      </c>
      <c r="AE1" s="4" t="s">
        <v>478</v>
      </c>
      <c r="AF1" s="4" t="s">
        <v>552</v>
      </c>
      <c r="AG1" s="4" t="s">
        <v>535</v>
      </c>
      <c r="AH1" s="4" t="s">
        <v>438</v>
      </c>
      <c r="AI1" s="4" t="s">
        <v>491</v>
      </c>
      <c r="AJ1" s="4" t="s">
        <v>544</v>
      </c>
      <c r="AK1" s="4" t="s">
        <v>267</v>
      </c>
      <c r="AL1" s="4" t="s">
        <v>447</v>
      </c>
      <c r="AM1" s="4" t="s">
        <v>513</v>
      </c>
      <c r="AN1" s="4" t="s">
        <v>536</v>
      </c>
      <c r="AO1" s="4" t="s">
        <v>477</v>
      </c>
      <c r="AP1" s="4" t="s">
        <v>543</v>
      </c>
      <c r="AQ1" s="4" t="s">
        <v>445</v>
      </c>
      <c r="AR1" s="4" t="s">
        <v>474</v>
      </c>
      <c r="AS1" s="4" t="s">
        <v>488</v>
      </c>
      <c r="AT1" s="4" t="s">
        <v>229</v>
      </c>
      <c r="AU1" s="4" t="s">
        <v>501</v>
      </c>
      <c r="AV1" s="4" t="s">
        <v>565</v>
      </c>
      <c r="AW1" s="4" t="s">
        <v>188</v>
      </c>
      <c r="AX1" s="4" t="s">
        <v>505</v>
      </c>
      <c r="AY1" s="4" t="s">
        <v>582</v>
      </c>
      <c r="AZ1" s="4" t="s">
        <v>450</v>
      </c>
      <c r="BA1" s="4" t="s">
        <v>556</v>
      </c>
      <c r="BB1" s="4" t="s">
        <v>482</v>
      </c>
      <c r="BC1" s="4" t="s">
        <v>489</v>
      </c>
      <c r="BD1" s="4" t="s">
        <v>561</v>
      </c>
      <c r="BE1" s="4" t="s">
        <v>533</v>
      </c>
      <c r="BF1" s="4" t="s">
        <v>189</v>
      </c>
      <c r="BG1" s="4" t="s">
        <v>551</v>
      </c>
      <c r="BH1" s="4" t="s">
        <v>439</v>
      </c>
      <c r="BI1" s="4" t="s">
        <v>467</v>
      </c>
      <c r="BJ1" s="4" t="s">
        <v>469</v>
      </c>
      <c r="BK1" s="4" t="s">
        <v>592</v>
      </c>
      <c r="BL1" s="4" t="s">
        <v>440</v>
      </c>
      <c r="BM1" s="4" t="s">
        <v>591</v>
      </c>
      <c r="BN1" s="4" t="s">
        <v>545</v>
      </c>
      <c r="BO1" s="4" t="s">
        <v>492</v>
      </c>
      <c r="BP1" s="4" t="s">
        <v>515</v>
      </c>
      <c r="BQ1" s="4" t="s">
        <v>479</v>
      </c>
      <c r="BR1" s="4" t="s">
        <v>580</v>
      </c>
      <c r="BS1" s="4" t="s">
        <v>475</v>
      </c>
      <c r="BT1" s="4" t="s">
        <v>506</v>
      </c>
      <c r="BU1" s="4" t="s">
        <v>529</v>
      </c>
      <c r="BV1" s="4" t="s">
        <v>498</v>
      </c>
      <c r="BW1" s="4" t="s">
        <v>569</v>
      </c>
      <c r="BX1" s="4" t="s">
        <v>577</v>
      </c>
      <c r="BY1" s="4" t="s">
        <v>444</v>
      </c>
      <c r="BZ1" s="4" t="s">
        <v>233</v>
      </c>
      <c r="CA1" s="4" t="s">
        <v>524</v>
      </c>
      <c r="CB1" s="4" t="s">
        <v>554</v>
      </c>
      <c r="CC1" s="4" t="s">
        <v>504</v>
      </c>
      <c r="CD1" s="4" t="s">
        <v>441</v>
      </c>
      <c r="CE1" s="4" t="s">
        <v>442</v>
      </c>
      <c r="CF1" s="4" t="s">
        <v>235</v>
      </c>
      <c r="CG1" s="4" t="s">
        <v>443</v>
      </c>
      <c r="CH1" s="4" t="s">
        <v>528</v>
      </c>
      <c r="CI1" s="4" t="s">
        <v>476</v>
      </c>
      <c r="CJ1" s="4" t="s">
        <v>494</v>
      </c>
      <c r="CK1" s="4" t="s">
        <v>509</v>
      </c>
      <c r="CL1" s="4" t="s">
        <v>471</v>
      </c>
      <c r="CM1" s="4" t="s">
        <v>216</v>
      </c>
      <c r="CN1" s="4" t="s">
        <v>508</v>
      </c>
      <c r="CO1" s="4" t="s">
        <v>507</v>
      </c>
      <c r="CP1" s="4" t="s">
        <v>487</v>
      </c>
      <c r="CQ1" s="4" t="s">
        <v>480</v>
      </c>
      <c r="CR1" s="4" t="s">
        <v>510</v>
      </c>
      <c r="CS1" s="4" t="s">
        <v>446</v>
      </c>
      <c r="CT1" s="4" t="s">
        <v>485</v>
      </c>
      <c r="CU1" s="4" t="s">
        <v>194</v>
      </c>
      <c r="CW1" s="1" t="s">
        <v>440</v>
      </c>
      <c r="CX1" s="1" t="s">
        <v>806</v>
      </c>
      <c r="CY1" s="1" t="s">
        <v>807</v>
      </c>
      <c r="CZ1" s="1" t="s">
        <v>443</v>
      </c>
      <c r="DA1" s="1" t="s">
        <v>808</v>
      </c>
      <c r="DB1" s="1" t="s">
        <v>809</v>
      </c>
    </row>
    <row r="2" spans="1:106" x14ac:dyDescent="0.25">
      <c r="A2" s="9" t="s">
        <v>629</v>
      </c>
      <c r="B2" s="1" t="s">
        <v>435</v>
      </c>
      <c r="C2" s="1" t="s">
        <v>191</v>
      </c>
      <c r="D2" s="1" t="s">
        <v>192</v>
      </c>
      <c r="E2" s="1" t="s">
        <v>192</v>
      </c>
      <c r="F2" s="1" t="s">
        <v>192</v>
      </c>
      <c r="G2" s="1" t="s">
        <v>192</v>
      </c>
      <c r="H2" s="1">
        <v>3</v>
      </c>
      <c r="I2" s="1" t="s">
        <v>192</v>
      </c>
      <c r="J2" s="1" t="s">
        <v>192</v>
      </c>
      <c r="K2" s="1" t="s">
        <v>192</v>
      </c>
      <c r="L2" s="1" t="s">
        <v>192</v>
      </c>
      <c r="M2" s="1" t="s">
        <v>192</v>
      </c>
      <c r="N2" s="1" t="s">
        <v>192</v>
      </c>
      <c r="O2" s="1" t="s">
        <v>192</v>
      </c>
      <c r="P2" s="1" t="s">
        <v>192</v>
      </c>
      <c r="Q2" s="1" t="s">
        <v>192</v>
      </c>
      <c r="R2" s="1" t="s">
        <v>192</v>
      </c>
      <c r="S2" s="1" t="s">
        <v>192</v>
      </c>
      <c r="T2" s="1" t="s">
        <v>192</v>
      </c>
      <c r="U2" s="1" t="s">
        <v>192</v>
      </c>
      <c r="V2" s="1" t="s">
        <v>192</v>
      </c>
      <c r="W2" s="1" t="s">
        <v>192</v>
      </c>
      <c r="X2" s="1" t="s">
        <v>192</v>
      </c>
      <c r="Y2" s="1" t="s">
        <v>192</v>
      </c>
      <c r="Z2" s="1" t="s">
        <v>192</v>
      </c>
      <c r="AA2" s="1" t="s">
        <v>192</v>
      </c>
      <c r="AB2" s="1" t="s">
        <v>192</v>
      </c>
      <c r="AC2" s="1" t="s">
        <v>192</v>
      </c>
      <c r="AD2" s="1" t="s">
        <v>192</v>
      </c>
      <c r="AE2" s="1" t="s">
        <v>192</v>
      </c>
      <c r="AF2" s="1" t="s">
        <v>192</v>
      </c>
      <c r="AG2" s="1" t="s">
        <v>192</v>
      </c>
      <c r="AH2" s="1" t="s">
        <v>192</v>
      </c>
      <c r="AI2" s="1" t="s">
        <v>192</v>
      </c>
      <c r="AJ2" s="1" t="s">
        <v>192</v>
      </c>
      <c r="AK2" s="1" t="s">
        <v>192</v>
      </c>
      <c r="AL2" s="1" t="s">
        <v>192</v>
      </c>
      <c r="AM2" s="1" t="s">
        <v>192</v>
      </c>
      <c r="AN2" s="1" t="s">
        <v>192</v>
      </c>
      <c r="AO2" s="1" t="s">
        <v>192</v>
      </c>
      <c r="AP2" s="1" t="s">
        <v>192</v>
      </c>
      <c r="AQ2" s="1" t="s">
        <v>192</v>
      </c>
      <c r="AR2" s="1" t="s">
        <v>192</v>
      </c>
      <c r="AS2" s="1" t="s">
        <v>192</v>
      </c>
      <c r="AT2" s="1" t="s">
        <v>192</v>
      </c>
      <c r="AU2" s="1" t="s">
        <v>192</v>
      </c>
      <c r="AV2" s="1" t="s">
        <v>192</v>
      </c>
      <c r="AW2" s="1">
        <v>1</v>
      </c>
      <c r="AX2" s="1" t="s">
        <v>192</v>
      </c>
      <c r="AY2" s="1" t="s">
        <v>192</v>
      </c>
      <c r="AZ2" s="1" t="s">
        <v>192</v>
      </c>
      <c r="BA2" s="1" t="s">
        <v>192</v>
      </c>
      <c r="BB2" s="1" t="s">
        <v>192</v>
      </c>
      <c r="BC2" s="1" t="s">
        <v>192</v>
      </c>
      <c r="BD2" s="1" t="s">
        <v>192</v>
      </c>
      <c r="BE2" s="1" t="s">
        <v>192</v>
      </c>
      <c r="BF2" s="1">
        <v>1</v>
      </c>
      <c r="BG2" s="1" t="s">
        <v>192</v>
      </c>
      <c r="BH2" s="1" t="s">
        <v>192</v>
      </c>
      <c r="BI2" s="1" t="s">
        <v>192</v>
      </c>
      <c r="BJ2" s="1" t="s">
        <v>192</v>
      </c>
      <c r="BK2" s="1" t="s">
        <v>192</v>
      </c>
      <c r="BL2" s="1" t="s">
        <v>192</v>
      </c>
      <c r="BM2" s="1" t="s">
        <v>192</v>
      </c>
      <c r="BN2" s="1" t="s">
        <v>192</v>
      </c>
      <c r="BO2" s="1" t="s">
        <v>192</v>
      </c>
      <c r="BP2" s="1" t="s">
        <v>192</v>
      </c>
      <c r="BQ2" s="1" t="s">
        <v>192</v>
      </c>
      <c r="BR2" s="1" t="s">
        <v>192</v>
      </c>
      <c r="BS2" s="1" t="s">
        <v>192</v>
      </c>
      <c r="BT2" s="1" t="s">
        <v>192</v>
      </c>
      <c r="BU2" s="1" t="s">
        <v>192</v>
      </c>
      <c r="BV2" s="1" t="s">
        <v>192</v>
      </c>
      <c r="BW2" s="1" t="s">
        <v>192</v>
      </c>
      <c r="BX2" s="1" t="s">
        <v>192</v>
      </c>
      <c r="BY2" s="1" t="s">
        <v>192</v>
      </c>
      <c r="BZ2" s="1" t="s">
        <v>192</v>
      </c>
      <c r="CA2" s="1" t="s">
        <v>192</v>
      </c>
      <c r="CB2" s="1" t="s">
        <v>192</v>
      </c>
      <c r="CC2" s="1" t="s">
        <v>192</v>
      </c>
      <c r="CD2" s="1" t="s">
        <v>192</v>
      </c>
      <c r="CE2" s="1">
        <v>1</v>
      </c>
      <c r="CF2" s="1" t="s">
        <v>192</v>
      </c>
      <c r="CG2" s="1">
        <v>4</v>
      </c>
      <c r="CH2" s="1" t="s">
        <v>192</v>
      </c>
      <c r="CI2" s="1" t="s">
        <v>192</v>
      </c>
      <c r="CJ2" s="1" t="s">
        <v>192</v>
      </c>
      <c r="CK2" s="1" t="s">
        <v>192</v>
      </c>
      <c r="CL2" s="1" t="s">
        <v>192</v>
      </c>
      <c r="CM2" s="1" t="s">
        <v>192</v>
      </c>
      <c r="CN2" s="1" t="s">
        <v>192</v>
      </c>
      <c r="CO2" s="1" t="s">
        <v>811</v>
      </c>
      <c r="CP2" s="1" t="s">
        <v>192</v>
      </c>
      <c r="CQ2" s="1" t="s">
        <v>192</v>
      </c>
      <c r="CR2" s="1" t="s">
        <v>192</v>
      </c>
      <c r="CS2" s="1" t="s">
        <v>192</v>
      </c>
      <c r="CT2" s="1">
        <f>SUM(Table7[[#This Row],[Acyl_amino_acids]:[T3PKS]])</f>
        <v>10</v>
      </c>
      <c r="CU2" s="1" t="s">
        <v>192</v>
      </c>
      <c r="CW2" s="1" t="str">
        <f>Table7[[#This Row],[NRPS]]</f>
        <v>-</v>
      </c>
      <c r="CX2" s="1">
        <f>SUM(CP2,CR2,CS2,Table7[[#This Row],[T1PKS, T3PKS]])</f>
        <v>0</v>
      </c>
      <c r="CY2" s="1">
        <f>SUM(BU2,BS2,BN2)</f>
        <v>0</v>
      </c>
      <c r="CZ2" s="1">
        <f>Table7[[#This Row],[Terpene]]</f>
        <v>4</v>
      </c>
      <c r="DA2" s="1">
        <f>SUM(Table7[[#This Row],[Thiopeptide]],BH2,BF2,BE2,BC2,AZ2,AX2,AW2,AJ2,AH2,N2,L2,J2,H2,I2,K2,R2,Q2,Table7[[#This Row],[Cyanobactin, LAP]])</f>
        <v>5</v>
      </c>
      <c r="DB2" s="1">
        <f>SUM(CO2,CN2,CL2,CK2,CJ2,CI2,CH2,CF2,CE2,CD2,CB2,CA2,BZ2,BY2,BX2,BW2,BV2,BT2,BR2,BQ2,BP2,BO2,BM2,BK2,BJ2,BI2,BG2,BD2,BB2,BA2,AY2,AV2,AU2,AT2,AS2,AR2,AQ2,AP2,AO2,AN2,AM2,AL2,AK2,AG2,AF2,AE2,AD2,AC2,AB2,AA2,Z2,Y2,X2,W2,V2,U2,T2,S2,P2,O2,M2,Table7[[#This Row],[Acyl_amino_acids]],E2,F2,G2,)</f>
        <v>1</v>
      </c>
    </row>
    <row r="3" spans="1:106" x14ac:dyDescent="0.25">
      <c r="A3" s="9" t="s">
        <v>640</v>
      </c>
      <c r="B3" s="1" t="s">
        <v>435</v>
      </c>
      <c r="C3" s="1" t="s">
        <v>193</v>
      </c>
      <c r="D3" s="1" t="s">
        <v>192</v>
      </c>
      <c r="E3" s="3" t="s">
        <v>192</v>
      </c>
      <c r="F3" s="3" t="s">
        <v>192</v>
      </c>
      <c r="G3" s="3" t="s">
        <v>192</v>
      </c>
      <c r="H3" s="3">
        <v>2</v>
      </c>
      <c r="I3" s="3" t="s">
        <v>192</v>
      </c>
      <c r="J3" s="3" t="s">
        <v>192</v>
      </c>
      <c r="K3" s="3" t="s">
        <v>192</v>
      </c>
      <c r="L3" s="3" t="s">
        <v>192</v>
      </c>
      <c r="M3" s="3" t="s">
        <v>192</v>
      </c>
      <c r="N3" s="3" t="s">
        <v>192</v>
      </c>
      <c r="O3" s="3" t="s">
        <v>192</v>
      </c>
      <c r="P3" s="3" t="s">
        <v>192</v>
      </c>
      <c r="Q3" s="3" t="s">
        <v>192</v>
      </c>
      <c r="R3" s="3" t="s">
        <v>192</v>
      </c>
      <c r="S3" s="3" t="s">
        <v>192</v>
      </c>
      <c r="T3" s="3" t="s">
        <v>192</v>
      </c>
      <c r="U3" s="3" t="s">
        <v>192</v>
      </c>
      <c r="V3" s="3" t="s">
        <v>192</v>
      </c>
      <c r="W3" s="3" t="s">
        <v>192</v>
      </c>
      <c r="X3" s="3" t="s">
        <v>192</v>
      </c>
      <c r="Y3" s="3" t="s">
        <v>192</v>
      </c>
      <c r="Z3" s="3" t="s">
        <v>192</v>
      </c>
      <c r="AA3" s="3" t="s">
        <v>192</v>
      </c>
      <c r="AB3" s="3" t="s">
        <v>192</v>
      </c>
      <c r="AC3" s="3" t="s">
        <v>192</v>
      </c>
      <c r="AD3" s="3" t="s">
        <v>192</v>
      </c>
      <c r="AE3" s="3" t="s">
        <v>192</v>
      </c>
      <c r="AF3" s="3" t="s">
        <v>192</v>
      </c>
      <c r="AG3" s="3" t="s">
        <v>192</v>
      </c>
      <c r="AH3" s="3" t="s">
        <v>192</v>
      </c>
      <c r="AI3" s="3" t="s">
        <v>192</v>
      </c>
      <c r="AJ3" s="3" t="s">
        <v>192</v>
      </c>
      <c r="AK3" s="3" t="s">
        <v>192</v>
      </c>
      <c r="AL3" s="3" t="s">
        <v>192</v>
      </c>
      <c r="AM3" s="3">
        <v>1</v>
      </c>
      <c r="AN3" s="3" t="s">
        <v>192</v>
      </c>
      <c r="AO3" s="3" t="s">
        <v>192</v>
      </c>
      <c r="AP3" s="3" t="s">
        <v>192</v>
      </c>
      <c r="AQ3" s="3">
        <v>1</v>
      </c>
      <c r="AR3" s="3" t="s">
        <v>192</v>
      </c>
      <c r="AS3" s="3" t="s">
        <v>192</v>
      </c>
      <c r="AT3" s="3" t="s">
        <v>192</v>
      </c>
      <c r="AU3" s="3" t="s">
        <v>192</v>
      </c>
      <c r="AV3" s="3" t="s">
        <v>192</v>
      </c>
      <c r="AW3" s="3" t="s">
        <v>192</v>
      </c>
      <c r="AX3" s="3" t="s">
        <v>192</v>
      </c>
      <c r="AY3" s="3" t="s">
        <v>192</v>
      </c>
      <c r="AZ3" s="3" t="s">
        <v>192</v>
      </c>
      <c r="BA3" s="3" t="s">
        <v>192</v>
      </c>
      <c r="BB3" s="3" t="s">
        <v>192</v>
      </c>
      <c r="BC3" s="3" t="s">
        <v>192</v>
      </c>
      <c r="BD3" s="3" t="s">
        <v>192</v>
      </c>
      <c r="BE3" s="3" t="s">
        <v>192</v>
      </c>
      <c r="BF3" s="3" t="s">
        <v>192</v>
      </c>
      <c r="BG3" s="3" t="s">
        <v>192</v>
      </c>
      <c r="BH3" s="3" t="s">
        <v>192</v>
      </c>
      <c r="BI3" s="3" t="s">
        <v>192</v>
      </c>
      <c r="BJ3" s="3" t="s">
        <v>192</v>
      </c>
      <c r="BK3" s="3" t="s">
        <v>192</v>
      </c>
      <c r="BL3" s="3">
        <v>2</v>
      </c>
      <c r="BM3" s="3" t="s">
        <v>192</v>
      </c>
      <c r="BN3" s="3" t="s">
        <v>192</v>
      </c>
      <c r="BO3" s="3" t="s">
        <v>192</v>
      </c>
      <c r="BP3" s="3" t="s">
        <v>192</v>
      </c>
      <c r="BQ3" s="3" t="s">
        <v>192</v>
      </c>
      <c r="BR3" s="3" t="s">
        <v>192</v>
      </c>
      <c r="BS3" s="3">
        <v>2</v>
      </c>
      <c r="BT3" s="3" t="s">
        <v>192</v>
      </c>
      <c r="BU3" s="3" t="s">
        <v>192</v>
      </c>
      <c r="BV3" s="3" t="s">
        <v>192</v>
      </c>
      <c r="BW3" s="3" t="s">
        <v>192</v>
      </c>
      <c r="BX3" s="3" t="s">
        <v>192</v>
      </c>
      <c r="BY3" s="3" t="s">
        <v>192</v>
      </c>
      <c r="BZ3" s="3" t="s">
        <v>192</v>
      </c>
      <c r="CA3" s="3" t="s">
        <v>192</v>
      </c>
      <c r="CB3" s="3" t="s">
        <v>192</v>
      </c>
      <c r="CC3" s="3" t="s">
        <v>192</v>
      </c>
      <c r="CD3" s="3" t="s">
        <v>192</v>
      </c>
      <c r="CE3" s="3" t="s">
        <v>192</v>
      </c>
      <c r="CF3" s="3" t="s">
        <v>192</v>
      </c>
      <c r="CG3" s="3">
        <v>4</v>
      </c>
      <c r="CH3" s="3" t="s">
        <v>192</v>
      </c>
      <c r="CI3" s="3" t="s">
        <v>192</v>
      </c>
      <c r="CJ3" s="3" t="s">
        <v>192</v>
      </c>
      <c r="CK3" s="3" t="s">
        <v>192</v>
      </c>
      <c r="CL3" s="3" t="s">
        <v>192</v>
      </c>
      <c r="CM3" s="3" t="s">
        <v>192</v>
      </c>
      <c r="CN3" s="3" t="s">
        <v>192</v>
      </c>
      <c r="CO3" s="3" t="s">
        <v>192</v>
      </c>
      <c r="CP3" s="3" t="s">
        <v>192</v>
      </c>
      <c r="CQ3" s="3" t="s">
        <v>192</v>
      </c>
      <c r="CR3" s="3" t="s">
        <v>192</v>
      </c>
      <c r="CS3" s="3" t="s">
        <v>192</v>
      </c>
      <c r="CT3" s="1">
        <f>SUM(Table7[[#This Row],[Acyl_amino_acids]:[T3PKS]])</f>
        <v>12</v>
      </c>
      <c r="CU3" s="3" t="s">
        <v>196</v>
      </c>
      <c r="CW3" s="1">
        <f>Table7[[#This Row],[NRPS]]</f>
        <v>2</v>
      </c>
      <c r="CX3" s="1">
        <f>SUM(CP3,CR3,CS3,Table7[[#This Row],[T1PKS, T3PKS]])</f>
        <v>0</v>
      </c>
      <c r="CY3" s="1">
        <f t="shared" ref="CY3:CY66" si="0">SUM(BU3,BS3,BN3)</f>
        <v>2</v>
      </c>
      <c r="CZ3" s="1">
        <f>Table7[[#This Row],[Terpene]]</f>
        <v>4</v>
      </c>
      <c r="DA3" s="1">
        <f>SUM(Table7[[#This Row],[Thiopeptide]],BH3,BF3,BE3,BC3,AZ3,AX3,AW3,AJ3,AH3,N3,L3,J3,H3,I3,K3,R3,Q3,Table7[[#This Row],[Cyanobactin, LAP]])</f>
        <v>2</v>
      </c>
      <c r="DB3" s="1">
        <f>SUM(CO3,CN3,CL3,CK3,CJ3,CI3,CH3,CF3,CE3,CD3,CB3,CA3,BZ3,BY3,BX3,BW3,BV3,BT3,BR3,BQ3,BP3,BO3,BM3,BK3,BJ3,BI3,BG3,BD3,BB3,BA3,AY3,AV3,AU3,AT3,AS3,AR3,AQ3,AP3,AO3,AN3,AM3,AL3,AK3,AG3,AF3,AE3,AD3,AC3,AB3,AA3,Z3,Y3,X3,W3,V3,U3,T3,S3,P3,O3,M3,Table7[[#This Row],[Acyl_amino_acids]],E3,F3,G3,)</f>
        <v>2</v>
      </c>
    </row>
    <row r="4" spans="1:106" x14ac:dyDescent="0.25">
      <c r="A4" s="9" t="s">
        <v>640</v>
      </c>
      <c r="B4" s="1" t="s">
        <v>435</v>
      </c>
      <c r="C4" s="1" t="s">
        <v>201</v>
      </c>
      <c r="D4" s="3" t="s">
        <v>192</v>
      </c>
      <c r="E4" s="3" t="s">
        <v>192</v>
      </c>
      <c r="F4" s="3" t="s">
        <v>192</v>
      </c>
      <c r="G4" s="3" t="s">
        <v>192</v>
      </c>
      <c r="H4" s="3">
        <v>2</v>
      </c>
      <c r="I4" s="3" t="s">
        <v>192</v>
      </c>
      <c r="J4" s="3" t="s">
        <v>192</v>
      </c>
      <c r="K4" s="3" t="s">
        <v>192</v>
      </c>
      <c r="L4" s="3" t="s">
        <v>192</v>
      </c>
      <c r="M4" s="3" t="s">
        <v>192</v>
      </c>
      <c r="N4" s="3" t="s">
        <v>192</v>
      </c>
      <c r="O4" s="3" t="s">
        <v>192</v>
      </c>
      <c r="P4" s="3" t="s">
        <v>192</v>
      </c>
      <c r="Q4" s="3" t="s">
        <v>192</v>
      </c>
      <c r="R4" s="3" t="s">
        <v>192</v>
      </c>
      <c r="S4" s="3" t="s">
        <v>192</v>
      </c>
      <c r="T4" s="3" t="s">
        <v>192</v>
      </c>
      <c r="U4" s="3" t="s">
        <v>192</v>
      </c>
      <c r="V4" s="3" t="s">
        <v>192</v>
      </c>
      <c r="W4" s="3" t="s">
        <v>192</v>
      </c>
      <c r="X4" s="3" t="s">
        <v>192</v>
      </c>
      <c r="Y4" s="3" t="s">
        <v>192</v>
      </c>
      <c r="Z4" s="3" t="s">
        <v>192</v>
      </c>
      <c r="AA4" s="3" t="s">
        <v>192</v>
      </c>
      <c r="AB4" s="3" t="s">
        <v>192</v>
      </c>
      <c r="AC4" s="3" t="s">
        <v>192</v>
      </c>
      <c r="AD4" s="3" t="s">
        <v>192</v>
      </c>
      <c r="AE4" s="3" t="s">
        <v>192</v>
      </c>
      <c r="AF4" s="3" t="s">
        <v>192</v>
      </c>
      <c r="AG4" s="3" t="s">
        <v>192</v>
      </c>
      <c r="AH4" s="3" t="s">
        <v>192</v>
      </c>
      <c r="AI4" s="3" t="s">
        <v>192</v>
      </c>
      <c r="AJ4" s="3" t="s">
        <v>192</v>
      </c>
      <c r="AK4" s="3" t="s">
        <v>192</v>
      </c>
      <c r="AL4" s="3" t="s">
        <v>192</v>
      </c>
      <c r="AM4" s="3">
        <v>1</v>
      </c>
      <c r="AN4" s="3" t="s">
        <v>192</v>
      </c>
      <c r="AO4" s="3" t="s">
        <v>192</v>
      </c>
      <c r="AP4" s="3" t="s">
        <v>192</v>
      </c>
      <c r="AQ4" s="3">
        <v>1</v>
      </c>
      <c r="AR4" s="3" t="s">
        <v>192</v>
      </c>
      <c r="AS4" s="3" t="s">
        <v>192</v>
      </c>
      <c r="AT4" s="3" t="s">
        <v>192</v>
      </c>
      <c r="AU4" s="3" t="s">
        <v>192</v>
      </c>
      <c r="AV4" s="3" t="s">
        <v>192</v>
      </c>
      <c r="AW4" s="3" t="s">
        <v>192</v>
      </c>
      <c r="AX4" s="3" t="s">
        <v>192</v>
      </c>
      <c r="AY4" s="3" t="s">
        <v>192</v>
      </c>
      <c r="AZ4" s="3" t="s">
        <v>192</v>
      </c>
      <c r="BA4" s="3" t="s">
        <v>192</v>
      </c>
      <c r="BB4" s="3" t="s">
        <v>192</v>
      </c>
      <c r="BC4" s="3" t="s">
        <v>192</v>
      </c>
      <c r="BD4" s="3" t="s">
        <v>192</v>
      </c>
      <c r="BE4" s="3" t="s">
        <v>192</v>
      </c>
      <c r="BF4" s="3" t="s">
        <v>192</v>
      </c>
      <c r="BG4" s="3" t="s">
        <v>192</v>
      </c>
      <c r="BH4" s="3" t="s">
        <v>192</v>
      </c>
      <c r="BI4" s="3" t="s">
        <v>192</v>
      </c>
      <c r="BJ4" s="3" t="s">
        <v>192</v>
      </c>
      <c r="BK4" s="3" t="s">
        <v>192</v>
      </c>
      <c r="BL4" s="3">
        <v>2</v>
      </c>
      <c r="BM4" s="3" t="s">
        <v>192</v>
      </c>
      <c r="BN4" s="3" t="s">
        <v>192</v>
      </c>
      <c r="BO4" s="3" t="s">
        <v>192</v>
      </c>
      <c r="BP4" s="3" t="s">
        <v>192</v>
      </c>
      <c r="BQ4" s="3" t="s">
        <v>192</v>
      </c>
      <c r="BR4" s="3" t="s">
        <v>192</v>
      </c>
      <c r="BS4" s="3">
        <v>2</v>
      </c>
      <c r="BT4" s="3" t="s">
        <v>192</v>
      </c>
      <c r="BU4" s="3" t="s">
        <v>192</v>
      </c>
      <c r="BV4" s="3" t="s">
        <v>192</v>
      </c>
      <c r="BW4" s="3" t="s">
        <v>192</v>
      </c>
      <c r="BX4" s="3" t="s">
        <v>192</v>
      </c>
      <c r="BY4" s="3" t="s">
        <v>192</v>
      </c>
      <c r="BZ4" s="3" t="s">
        <v>192</v>
      </c>
      <c r="CA4" s="3" t="s">
        <v>192</v>
      </c>
      <c r="CB4" s="3" t="s">
        <v>192</v>
      </c>
      <c r="CC4" s="3" t="s">
        <v>192</v>
      </c>
      <c r="CD4" s="3" t="s">
        <v>192</v>
      </c>
      <c r="CE4" s="3" t="s">
        <v>192</v>
      </c>
      <c r="CF4" s="3" t="s">
        <v>192</v>
      </c>
      <c r="CG4" s="3">
        <v>4</v>
      </c>
      <c r="CH4" s="3" t="s">
        <v>192</v>
      </c>
      <c r="CI4" s="3" t="s">
        <v>192</v>
      </c>
      <c r="CJ4" s="3" t="s">
        <v>192</v>
      </c>
      <c r="CK4" s="3" t="s">
        <v>192</v>
      </c>
      <c r="CL4" s="3" t="s">
        <v>192</v>
      </c>
      <c r="CM4" s="3" t="s">
        <v>192</v>
      </c>
      <c r="CN4" s="3" t="s">
        <v>192</v>
      </c>
      <c r="CO4" s="3" t="s">
        <v>192</v>
      </c>
      <c r="CP4" s="3" t="s">
        <v>192</v>
      </c>
      <c r="CQ4" s="3" t="s">
        <v>192</v>
      </c>
      <c r="CR4" s="3" t="s">
        <v>192</v>
      </c>
      <c r="CS4" s="3" t="s">
        <v>192</v>
      </c>
      <c r="CT4" s="1">
        <f>SUM(Table7[[#This Row],[Acyl_amino_acids]:[T3PKS]])</f>
        <v>12</v>
      </c>
      <c r="CU4" s="3" t="s">
        <v>196</v>
      </c>
      <c r="CW4" s="1">
        <f>Table7[[#This Row],[NRPS]]</f>
        <v>2</v>
      </c>
      <c r="CX4" s="1">
        <f>SUM(CP4,CR4,CS4,Table7[[#This Row],[T1PKS, T3PKS]])</f>
        <v>0</v>
      </c>
      <c r="CY4" s="1">
        <f t="shared" si="0"/>
        <v>2</v>
      </c>
      <c r="CZ4" s="1">
        <f>Table7[[#This Row],[Terpene]]</f>
        <v>4</v>
      </c>
      <c r="DA4" s="1">
        <f>SUM(Table7[[#This Row],[Thiopeptide]],BH4,BF4,BE4,BC4,AZ4,AX4,AW4,AJ4,AH4,N4,L4,J4,H4,I4,K4,R4,Q4,Table7[[#This Row],[Cyanobactin, LAP]])</f>
        <v>2</v>
      </c>
      <c r="DB4" s="1">
        <f>SUM(CO4,CN4,CL4,CK4,CJ4,CI4,CH4,CF4,CE4,CD4,CB4,CA4,BZ4,BY4,BX4,BW4,BV4,BT4,BR4,BQ4,BP4,BO4,BM4,BK4,BJ4,BI4,BG4,BD4,BB4,BA4,AY4,AV4,AU4,AT4,AS4,AR4,AQ4,AP4,AO4,AN4,AM4,AL4,AK4,AG4,AF4,AE4,AD4,AC4,AB4,AA4,Z4,Y4,X4,W4,V4,U4,T4,S4,P4,O4,M4,Table7[[#This Row],[Acyl_amino_acids]],E4,F4,G4,)</f>
        <v>2</v>
      </c>
    </row>
    <row r="5" spans="1:106" x14ac:dyDescent="0.25">
      <c r="A5" s="1" t="s">
        <v>929</v>
      </c>
      <c r="B5" s="1" t="s">
        <v>203</v>
      </c>
      <c r="C5" s="1" t="s">
        <v>205</v>
      </c>
      <c r="D5" s="1" t="s">
        <v>192</v>
      </c>
      <c r="E5" s="1" t="s">
        <v>192</v>
      </c>
      <c r="F5" s="1" t="s">
        <v>192</v>
      </c>
      <c r="G5" s="1" t="s">
        <v>192</v>
      </c>
      <c r="H5" s="1" t="s">
        <v>192</v>
      </c>
      <c r="I5" s="1" t="s">
        <v>192</v>
      </c>
      <c r="J5" s="1" t="s">
        <v>192</v>
      </c>
      <c r="K5" s="1" t="s">
        <v>192</v>
      </c>
      <c r="L5" s="1" t="s">
        <v>192</v>
      </c>
      <c r="M5" s="1" t="s">
        <v>192</v>
      </c>
      <c r="N5" s="1" t="s">
        <v>192</v>
      </c>
      <c r="O5" s="1" t="s">
        <v>192</v>
      </c>
      <c r="P5" s="1" t="s">
        <v>192</v>
      </c>
      <c r="Q5" s="1" t="s">
        <v>192</v>
      </c>
      <c r="R5" s="1" t="s">
        <v>192</v>
      </c>
      <c r="S5" s="1" t="s">
        <v>192</v>
      </c>
      <c r="T5" s="1" t="s">
        <v>192</v>
      </c>
      <c r="U5" s="1" t="s">
        <v>192</v>
      </c>
      <c r="V5" s="1" t="s">
        <v>192</v>
      </c>
      <c r="W5" s="1" t="s">
        <v>192</v>
      </c>
      <c r="X5" s="1" t="s">
        <v>192</v>
      </c>
      <c r="Y5" s="1" t="s">
        <v>192</v>
      </c>
      <c r="Z5" s="1" t="s">
        <v>192</v>
      </c>
      <c r="AA5" s="1" t="s">
        <v>192</v>
      </c>
      <c r="AB5" s="1" t="s">
        <v>192</v>
      </c>
      <c r="AC5" s="1" t="s">
        <v>192</v>
      </c>
      <c r="AD5" s="1" t="s">
        <v>192</v>
      </c>
      <c r="AE5" s="1" t="s">
        <v>192</v>
      </c>
      <c r="AF5" s="1" t="s">
        <v>192</v>
      </c>
      <c r="AG5" s="1" t="s">
        <v>192</v>
      </c>
      <c r="AH5" s="1" t="s">
        <v>192</v>
      </c>
      <c r="AI5" s="1" t="s">
        <v>192</v>
      </c>
      <c r="AJ5" s="1" t="s">
        <v>192</v>
      </c>
      <c r="AK5" s="1" t="s">
        <v>192</v>
      </c>
      <c r="AL5" s="1" t="s">
        <v>192</v>
      </c>
      <c r="AM5" s="1" t="s">
        <v>192</v>
      </c>
      <c r="AN5" s="1" t="s">
        <v>192</v>
      </c>
      <c r="AO5" s="1" t="s">
        <v>192</v>
      </c>
      <c r="AP5" s="1" t="s">
        <v>192</v>
      </c>
      <c r="AQ5" s="1" t="s">
        <v>192</v>
      </c>
      <c r="AR5" s="1" t="s">
        <v>192</v>
      </c>
      <c r="AS5" s="1" t="s">
        <v>192</v>
      </c>
      <c r="AT5" s="1" t="s">
        <v>192</v>
      </c>
      <c r="AU5" s="1" t="s">
        <v>192</v>
      </c>
      <c r="AV5" s="1" t="s">
        <v>192</v>
      </c>
      <c r="AW5" s="1" t="s">
        <v>192</v>
      </c>
      <c r="AX5" s="1" t="s">
        <v>192</v>
      </c>
      <c r="AY5" s="1" t="s">
        <v>192</v>
      </c>
      <c r="AZ5" s="1" t="s">
        <v>192</v>
      </c>
      <c r="BA5" s="1" t="s">
        <v>192</v>
      </c>
      <c r="BB5" s="1" t="s">
        <v>192</v>
      </c>
      <c r="BC5" s="1" t="s">
        <v>192</v>
      </c>
      <c r="BD5" s="1" t="s">
        <v>192</v>
      </c>
      <c r="BE5" s="1" t="s">
        <v>192</v>
      </c>
      <c r="BF5" s="1" t="s">
        <v>192</v>
      </c>
      <c r="BG5" s="1" t="s">
        <v>192</v>
      </c>
      <c r="BH5" s="1" t="s">
        <v>192</v>
      </c>
      <c r="BI5" s="1" t="s">
        <v>192</v>
      </c>
      <c r="BJ5" s="1" t="s">
        <v>192</v>
      </c>
      <c r="BK5" s="1" t="s">
        <v>192</v>
      </c>
      <c r="BL5" s="1" t="s">
        <v>192</v>
      </c>
      <c r="BM5" s="1" t="s">
        <v>192</v>
      </c>
      <c r="BN5" s="1" t="s">
        <v>192</v>
      </c>
      <c r="BO5" s="1" t="s">
        <v>192</v>
      </c>
      <c r="BP5" s="1" t="s">
        <v>192</v>
      </c>
      <c r="BQ5" s="1" t="s">
        <v>192</v>
      </c>
      <c r="BR5" s="1" t="s">
        <v>192</v>
      </c>
      <c r="BS5" s="1" t="s">
        <v>192</v>
      </c>
      <c r="BT5" s="1" t="s">
        <v>192</v>
      </c>
      <c r="BU5" s="1" t="s">
        <v>192</v>
      </c>
      <c r="BV5" s="1" t="s">
        <v>192</v>
      </c>
      <c r="BW5" s="1" t="s">
        <v>192</v>
      </c>
      <c r="BX5" s="1" t="s">
        <v>192</v>
      </c>
      <c r="BY5" s="1" t="s">
        <v>192</v>
      </c>
      <c r="BZ5" s="1" t="s">
        <v>192</v>
      </c>
      <c r="CA5" s="1" t="s">
        <v>192</v>
      </c>
      <c r="CB5" s="1" t="s">
        <v>192</v>
      </c>
      <c r="CC5" s="1" t="s">
        <v>192</v>
      </c>
      <c r="CD5" s="1" t="s">
        <v>192</v>
      </c>
      <c r="CE5" s="1" t="s">
        <v>192</v>
      </c>
      <c r="CF5" s="1" t="s">
        <v>192</v>
      </c>
      <c r="CG5" s="1">
        <v>1</v>
      </c>
      <c r="CH5" s="1" t="s">
        <v>192</v>
      </c>
      <c r="CI5" s="1" t="s">
        <v>192</v>
      </c>
      <c r="CJ5" s="1" t="s">
        <v>192</v>
      </c>
      <c r="CK5" s="1" t="s">
        <v>192</v>
      </c>
      <c r="CL5" s="1" t="s">
        <v>192</v>
      </c>
      <c r="CM5" s="1" t="s">
        <v>192</v>
      </c>
      <c r="CN5" s="1" t="s">
        <v>192</v>
      </c>
      <c r="CO5" s="1" t="s">
        <v>192</v>
      </c>
      <c r="CP5" s="1" t="s">
        <v>192</v>
      </c>
      <c r="CQ5" s="1" t="s">
        <v>192</v>
      </c>
      <c r="CR5" s="1" t="s">
        <v>192</v>
      </c>
      <c r="CS5" s="1" t="s">
        <v>192</v>
      </c>
      <c r="CT5" s="1">
        <f>SUM(Table7[[#This Row],[Acyl_amino_acids]:[T3PKS]])</f>
        <v>1</v>
      </c>
      <c r="CU5" s="1" t="s">
        <v>192</v>
      </c>
      <c r="CW5" s="1" t="str">
        <f>Table7[[#This Row],[NRPS]]</f>
        <v>-</v>
      </c>
      <c r="CX5" s="1">
        <f>SUM(CP5,CR5,CS5,Table7[[#This Row],[T1PKS, T3PKS]])</f>
        <v>0</v>
      </c>
      <c r="CY5" s="1">
        <f t="shared" si="0"/>
        <v>0</v>
      </c>
      <c r="CZ5" s="1">
        <f>Table7[[#This Row],[Terpene]]</f>
        <v>1</v>
      </c>
      <c r="DA5" s="1">
        <f>SUM(Table7[[#This Row],[Thiopeptide]],BH5,BF5,BE5,BC5,AZ5,AX5,AW5,AJ5,AH5,N5,L5,J5,H5,I5,K5,R5,Q5,Table7[[#This Row],[Cyanobactin, LAP]])</f>
        <v>0</v>
      </c>
      <c r="DB5" s="1">
        <f>SUM(CO5,CN5,CL5,CK5,CJ5,CI5,CH5,CF5,CE5,CD5,CB5,CA5,BZ5,BY5,BX5,BW5,BV5,BT5,BR5,BQ5,BP5,BO5,BM5,BK5,BJ5,BI5,BG5,BD5,BB5,BA5,AY5,AV5,AU5,AT5,AS5,AR5,AQ5,AP5,AO5,AN5,AM5,AL5,AK5,AG5,AF5,AE5,AD5,AC5,AB5,AA5,Z5,Y5,X5,W5,V5,U5,T5,S5,P5,O5,M5,Table7[[#This Row],[Acyl_amino_acids]],E5,F5,G5,)</f>
        <v>0</v>
      </c>
    </row>
    <row r="6" spans="1:106" x14ac:dyDescent="0.25">
      <c r="A6" s="1" t="s">
        <v>929</v>
      </c>
      <c r="B6" s="1" t="s">
        <v>202</v>
      </c>
      <c r="C6" s="1" t="s">
        <v>204</v>
      </c>
      <c r="D6" s="1" t="s">
        <v>192</v>
      </c>
      <c r="E6" s="1" t="s">
        <v>192</v>
      </c>
      <c r="F6" s="1" t="s">
        <v>192</v>
      </c>
      <c r="G6" s="1" t="s">
        <v>192</v>
      </c>
      <c r="H6" s="1">
        <v>1</v>
      </c>
      <c r="I6" s="1" t="s">
        <v>192</v>
      </c>
      <c r="J6" s="1" t="s">
        <v>192</v>
      </c>
      <c r="K6" s="1" t="s">
        <v>192</v>
      </c>
      <c r="L6" s="1" t="s">
        <v>192</v>
      </c>
      <c r="M6" s="1" t="s">
        <v>192</v>
      </c>
      <c r="N6" s="1" t="s">
        <v>192</v>
      </c>
      <c r="O6" s="1" t="s">
        <v>192</v>
      </c>
      <c r="P6" s="1" t="s">
        <v>192</v>
      </c>
      <c r="Q6" s="1" t="s">
        <v>192</v>
      </c>
      <c r="R6" s="1" t="s">
        <v>192</v>
      </c>
      <c r="S6" s="1" t="s">
        <v>192</v>
      </c>
      <c r="T6" s="1" t="s">
        <v>192</v>
      </c>
      <c r="U6" s="1" t="s">
        <v>192</v>
      </c>
      <c r="V6" s="1" t="s">
        <v>192</v>
      </c>
      <c r="W6" s="1" t="s">
        <v>192</v>
      </c>
      <c r="X6" s="1" t="s">
        <v>192</v>
      </c>
      <c r="Y6" s="1" t="s">
        <v>192</v>
      </c>
      <c r="Z6" s="1" t="s">
        <v>192</v>
      </c>
      <c r="AA6" s="1" t="s">
        <v>192</v>
      </c>
      <c r="AB6" s="1" t="s">
        <v>192</v>
      </c>
      <c r="AC6" s="1">
        <v>1</v>
      </c>
      <c r="AD6" s="1" t="s">
        <v>192</v>
      </c>
      <c r="AE6" s="1" t="s">
        <v>192</v>
      </c>
      <c r="AF6" s="1" t="s">
        <v>192</v>
      </c>
      <c r="AG6" s="1" t="s">
        <v>192</v>
      </c>
      <c r="AH6" s="1">
        <v>1</v>
      </c>
      <c r="AI6" s="1" t="s">
        <v>192</v>
      </c>
      <c r="AJ6" s="1" t="s">
        <v>192</v>
      </c>
      <c r="AK6" s="1" t="s">
        <v>192</v>
      </c>
      <c r="AL6" s="1">
        <v>1</v>
      </c>
      <c r="AM6" s="1" t="s">
        <v>192</v>
      </c>
      <c r="AN6" s="1" t="s">
        <v>192</v>
      </c>
      <c r="AO6" s="1" t="s">
        <v>192</v>
      </c>
      <c r="AP6" s="1" t="s">
        <v>192</v>
      </c>
      <c r="AQ6" s="1">
        <v>1</v>
      </c>
      <c r="AR6" s="1" t="s">
        <v>192</v>
      </c>
      <c r="AS6" s="1" t="s">
        <v>192</v>
      </c>
      <c r="AT6" s="1" t="s">
        <v>192</v>
      </c>
      <c r="AU6" s="1" t="s">
        <v>192</v>
      </c>
      <c r="AV6" s="1" t="s">
        <v>192</v>
      </c>
      <c r="AW6" s="1" t="s">
        <v>192</v>
      </c>
      <c r="AX6" s="1" t="s">
        <v>192</v>
      </c>
      <c r="AY6" s="1" t="s">
        <v>192</v>
      </c>
      <c r="AZ6" s="1" t="s">
        <v>192</v>
      </c>
      <c r="BA6" s="1" t="s">
        <v>192</v>
      </c>
      <c r="BB6" s="1" t="s">
        <v>192</v>
      </c>
      <c r="BC6" s="1">
        <v>1</v>
      </c>
      <c r="BD6" s="1" t="s">
        <v>192</v>
      </c>
      <c r="BE6" s="1" t="s">
        <v>192</v>
      </c>
      <c r="BF6" s="1" t="s">
        <v>192</v>
      </c>
      <c r="BG6" s="1" t="s">
        <v>192</v>
      </c>
      <c r="BH6" s="1" t="s">
        <v>192</v>
      </c>
      <c r="BI6" s="1" t="s">
        <v>192</v>
      </c>
      <c r="BJ6" s="1" t="s">
        <v>192</v>
      </c>
      <c r="BK6" s="1" t="s">
        <v>192</v>
      </c>
      <c r="BL6" s="1">
        <v>3</v>
      </c>
      <c r="BM6" s="1" t="s">
        <v>192</v>
      </c>
      <c r="BN6" s="1" t="s">
        <v>192</v>
      </c>
      <c r="BO6" s="1" t="s">
        <v>192</v>
      </c>
      <c r="BP6" s="1" t="s">
        <v>192</v>
      </c>
      <c r="BQ6" s="1" t="s">
        <v>192</v>
      </c>
      <c r="BR6" s="1" t="s">
        <v>192</v>
      </c>
      <c r="BS6" s="1" t="s">
        <v>192</v>
      </c>
      <c r="BT6" s="1" t="s">
        <v>192</v>
      </c>
      <c r="BU6" s="1" t="s">
        <v>192</v>
      </c>
      <c r="BV6" s="1" t="s">
        <v>192</v>
      </c>
      <c r="BW6" s="1" t="s">
        <v>192</v>
      </c>
      <c r="BX6" s="1" t="s">
        <v>192</v>
      </c>
      <c r="BY6" s="1" t="s">
        <v>192</v>
      </c>
      <c r="BZ6" s="1" t="s">
        <v>192</v>
      </c>
      <c r="CA6" s="1" t="s">
        <v>192</v>
      </c>
      <c r="CB6" s="1" t="s">
        <v>192</v>
      </c>
      <c r="CC6" s="1" t="s">
        <v>192</v>
      </c>
      <c r="CD6" s="1" t="s">
        <v>192</v>
      </c>
      <c r="CE6" s="1" t="s">
        <v>192</v>
      </c>
      <c r="CF6" s="1" t="s">
        <v>192</v>
      </c>
      <c r="CG6" s="1">
        <v>2</v>
      </c>
      <c r="CH6" s="1" t="s">
        <v>192</v>
      </c>
      <c r="CI6" s="1" t="s">
        <v>192</v>
      </c>
      <c r="CJ6" s="1" t="s">
        <v>192</v>
      </c>
      <c r="CK6" s="1" t="s">
        <v>192</v>
      </c>
      <c r="CL6" s="1" t="s">
        <v>192</v>
      </c>
      <c r="CM6" s="1" t="s">
        <v>192</v>
      </c>
      <c r="CN6" s="1" t="s">
        <v>192</v>
      </c>
      <c r="CO6" s="1" t="s">
        <v>192</v>
      </c>
      <c r="CP6" s="1" t="s">
        <v>192</v>
      </c>
      <c r="CQ6" s="1" t="s">
        <v>192</v>
      </c>
      <c r="CR6" s="1" t="s">
        <v>192</v>
      </c>
      <c r="CS6" s="1" t="s">
        <v>192</v>
      </c>
      <c r="CT6" s="1">
        <f>SUM(Table7[[#This Row],[Acyl_amino_acids]:[T3PKS]])</f>
        <v>11</v>
      </c>
      <c r="CU6" s="2" t="s">
        <v>924</v>
      </c>
      <c r="CW6" s="1">
        <f>Table7[[#This Row],[NRPS]]</f>
        <v>3</v>
      </c>
      <c r="CX6" s="1">
        <f>SUM(CP6,CR6,CS6,Table7[[#This Row],[T1PKS, T3PKS]])</f>
        <v>0</v>
      </c>
      <c r="CY6" s="1">
        <f t="shared" si="0"/>
        <v>0</v>
      </c>
      <c r="CZ6" s="1">
        <f>Table7[[#This Row],[Terpene]]</f>
        <v>2</v>
      </c>
      <c r="DA6" s="1">
        <f>SUM(Table7[[#This Row],[Thiopeptide]],BH6,BF6,BE6,BC6,AZ6,AX6,AW6,AJ6,AH6,N6,L6,J6,H6,I6,K6,R6,Q6,Table7[[#This Row],[Cyanobactin, LAP]])</f>
        <v>3</v>
      </c>
      <c r="DB6" s="1">
        <f>SUM(CO6,CN6,CL6,CK6,CJ6,CI6,CH6,CF6,CE6,CD6,CB6,CA6,BZ6,BY6,BX6,BW6,BV6,BT6,BR6,BQ6,BP6,BO6,BM6,BK6,BJ6,BI6,BG6,BD6,BB6,BA6,AY6,AV6,AU6,AT6,AS6,AR6,AQ6,AP6,AO6,AN6,AM6,AL6,AK6,AG6,AF6,AE6,AD6,AC6,AB6,AA6,Z6,Y6,X6,W6,V6,U6,T6,S6,P6,O6,M6,Table7[[#This Row],[Acyl_amino_acids]],E6,F6,G6,)</f>
        <v>3</v>
      </c>
    </row>
    <row r="7" spans="1:106" x14ac:dyDescent="0.25">
      <c r="A7" s="9" t="s">
        <v>643</v>
      </c>
      <c r="B7" s="1" t="s">
        <v>435</v>
      </c>
      <c r="C7" s="1" t="s">
        <v>212</v>
      </c>
      <c r="D7" s="1" t="s">
        <v>192</v>
      </c>
      <c r="E7" s="3" t="s">
        <v>192</v>
      </c>
      <c r="F7" s="3" t="s">
        <v>192</v>
      </c>
      <c r="G7" s="3" t="s">
        <v>192</v>
      </c>
      <c r="H7" s="3">
        <v>1</v>
      </c>
      <c r="I7" s="3" t="s">
        <v>192</v>
      </c>
      <c r="J7" s="3" t="s">
        <v>192</v>
      </c>
      <c r="K7" s="3" t="s">
        <v>192</v>
      </c>
      <c r="L7" s="3" t="s">
        <v>192</v>
      </c>
      <c r="M7" s="3" t="s">
        <v>192</v>
      </c>
      <c r="N7" s="3" t="s">
        <v>192</v>
      </c>
      <c r="O7" s="3" t="s">
        <v>192</v>
      </c>
      <c r="P7" s="3" t="s">
        <v>192</v>
      </c>
      <c r="Q7" s="3" t="s">
        <v>192</v>
      </c>
      <c r="R7" s="3" t="s">
        <v>192</v>
      </c>
      <c r="S7" s="3" t="s">
        <v>192</v>
      </c>
      <c r="T7" s="3" t="s">
        <v>192</v>
      </c>
      <c r="U7" s="3" t="s">
        <v>192</v>
      </c>
      <c r="V7" s="3" t="s">
        <v>192</v>
      </c>
      <c r="W7" s="3" t="s">
        <v>192</v>
      </c>
      <c r="X7" s="3" t="s">
        <v>192</v>
      </c>
      <c r="Y7" s="3" t="s">
        <v>192</v>
      </c>
      <c r="Z7" s="3" t="s">
        <v>192</v>
      </c>
      <c r="AA7" s="3" t="s">
        <v>192</v>
      </c>
      <c r="AB7" s="3" t="s">
        <v>192</v>
      </c>
      <c r="AC7" s="3" t="s">
        <v>192</v>
      </c>
      <c r="AD7" s="3" t="s">
        <v>192</v>
      </c>
      <c r="AE7" s="3" t="s">
        <v>192</v>
      </c>
      <c r="AF7" s="3" t="s">
        <v>192</v>
      </c>
      <c r="AG7" s="3" t="s">
        <v>192</v>
      </c>
      <c r="AH7" s="3">
        <v>1</v>
      </c>
      <c r="AI7" s="3" t="s">
        <v>192</v>
      </c>
      <c r="AJ7" s="3" t="s">
        <v>192</v>
      </c>
      <c r="AK7" s="3" t="s">
        <v>192</v>
      </c>
      <c r="AL7" s="3">
        <v>1</v>
      </c>
      <c r="AM7" s="3" t="s">
        <v>192</v>
      </c>
      <c r="AN7" s="3" t="s">
        <v>192</v>
      </c>
      <c r="AO7" s="3" t="s">
        <v>192</v>
      </c>
      <c r="AP7" s="3" t="s">
        <v>192</v>
      </c>
      <c r="AQ7" s="3">
        <v>1</v>
      </c>
      <c r="AR7" s="3" t="s">
        <v>192</v>
      </c>
      <c r="AS7" s="3" t="s">
        <v>192</v>
      </c>
      <c r="AT7" s="3" t="s">
        <v>192</v>
      </c>
      <c r="AU7" s="3" t="s">
        <v>192</v>
      </c>
      <c r="AV7" s="3" t="s">
        <v>192</v>
      </c>
      <c r="AW7" s="3" t="s">
        <v>192</v>
      </c>
      <c r="AX7" s="3" t="s">
        <v>192</v>
      </c>
      <c r="AY7" s="3" t="s">
        <v>192</v>
      </c>
      <c r="AZ7" s="3" t="s">
        <v>192</v>
      </c>
      <c r="BA7" s="3" t="s">
        <v>192</v>
      </c>
      <c r="BB7" s="3" t="s">
        <v>192</v>
      </c>
      <c r="BC7" s="3" t="s">
        <v>192</v>
      </c>
      <c r="BD7" s="3" t="s">
        <v>192</v>
      </c>
      <c r="BE7" s="3">
        <v>1</v>
      </c>
      <c r="BF7" s="3" t="s">
        <v>192</v>
      </c>
      <c r="BG7" s="3" t="s">
        <v>192</v>
      </c>
      <c r="BH7" s="3" t="s">
        <v>192</v>
      </c>
      <c r="BI7" s="3" t="s">
        <v>192</v>
      </c>
      <c r="BJ7" s="3" t="s">
        <v>192</v>
      </c>
      <c r="BK7" s="3" t="s">
        <v>192</v>
      </c>
      <c r="BL7" s="3">
        <v>6</v>
      </c>
      <c r="BM7" s="3" t="s">
        <v>192</v>
      </c>
      <c r="BN7" s="3" t="s">
        <v>192</v>
      </c>
      <c r="BO7" s="3" t="s">
        <v>192</v>
      </c>
      <c r="BP7" s="3" t="s">
        <v>192</v>
      </c>
      <c r="BQ7" s="3" t="s">
        <v>192</v>
      </c>
      <c r="BR7" s="3" t="s">
        <v>192</v>
      </c>
      <c r="BS7" s="3" t="s">
        <v>192</v>
      </c>
      <c r="BT7" s="3" t="s">
        <v>192</v>
      </c>
      <c r="BU7" s="3" t="s">
        <v>192</v>
      </c>
      <c r="BV7" s="3" t="s">
        <v>192</v>
      </c>
      <c r="BW7" s="3" t="s">
        <v>192</v>
      </c>
      <c r="BX7" s="3" t="s">
        <v>192</v>
      </c>
      <c r="BY7" s="3" t="s">
        <v>192</v>
      </c>
      <c r="BZ7" s="3" t="s">
        <v>192</v>
      </c>
      <c r="CA7" s="3" t="s">
        <v>192</v>
      </c>
      <c r="CB7" s="3" t="s">
        <v>192</v>
      </c>
      <c r="CC7" s="3" t="s">
        <v>192</v>
      </c>
      <c r="CD7" s="3" t="s">
        <v>192</v>
      </c>
      <c r="CE7" s="3" t="s">
        <v>192</v>
      </c>
      <c r="CF7" s="3" t="s">
        <v>192</v>
      </c>
      <c r="CG7" s="3">
        <v>3</v>
      </c>
      <c r="CH7" s="3" t="s">
        <v>192</v>
      </c>
      <c r="CI7" s="3" t="s">
        <v>192</v>
      </c>
      <c r="CJ7" s="3" t="s">
        <v>192</v>
      </c>
      <c r="CK7" s="3" t="s">
        <v>192</v>
      </c>
      <c r="CL7" s="3" t="s">
        <v>192</v>
      </c>
      <c r="CM7" s="3" t="s">
        <v>192</v>
      </c>
      <c r="CN7" s="3" t="s">
        <v>192</v>
      </c>
      <c r="CO7" s="3" t="s">
        <v>192</v>
      </c>
      <c r="CP7" s="3">
        <v>1</v>
      </c>
      <c r="CQ7" s="3" t="s">
        <v>192</v>
      </c>
      <c r="CR7" s="3" t="s">
        <v>192</v>
      </c>
      <c r="CS7" s="3" t="s">
        <v>192</v>
      </c>
      <c r="CT7" s="1">
        <f>SUM(Table7[[#This Row],[Acyl_amino_acids]:[T3PKS]])</f>
        <v>15</v>
      </c>
      <c r="CU7" s="3" t="s">
        <v>196</v>
      </c>
      <c r="CW7" s="1">
        <f>Table7[[#This Row],[NRPS]]</f>
        <v>6</v>
      </c>
      <c r="CX7" s="1">
        <f>SUM(CP7,CR7,CS7,Table7[[#This Row],[T1PKS, T3PKS]])</f>
        <v>1</v>
      </c>
      <c r="CY7" s="1">
        <f t="shared" si="0"/>
        <v>0</v>
      </c>
      <c r="CZ7" s="1">
        <f>Table7[[#This Row],[Terpene]]</f>
        <v>3</v>
      </c>
      <c r="DA7" s="1">
        <f>SUM(Table7[[#This Row],[Thiopeptide]],BH7,BF7,BE7,BC7,AZ7,AX7,AW7,AJ7,AH7,N7,L7,J7,H7,I7,K7,R7,Q7,Table7[[#This Row],[Cyanobactin, LAP]])</f>
        <v>3</v>
      </c>
      <c r="DB7" s="1">
        <f>SUM(CO7,CN7,CL7,CK7,CJ7,CI7,CH7,CF7,CE7,CD7,CB7,CA7,BZ7,BY7,BX7,BW7,BV7,BT7,BR7,BQ7,BP7,BO7,BM7,BK7,BJ7,BI7,BG7,BD7,BB7,BA7,AY7,AV7,AU7,AT7,AS7,AR7,AQ7,AP7,AO7,AN7,AM7,AL7,AK7,AG7,AF7,AE7,AD7,AC7,AB7,AA7,Z7,Y7,X7,W7,V7,U7,T7,S7,P7,O7,M7,Table7[[#This Row],[Acyl_amino_acids]],E7,F7,G7,)</f>
        <v>2</v>
      </c>
    </row>
    <row r="8" spans="1:106" x14ac:dyDescent="0.25">
      <c r="A8" s="9" t="s">
        <v>804</v>
      </c>
      <c r="B8" s="1" t="s">
        <v>435</v>
      </c>
      <c r="C8" s="1" t="s">
        <v>609</v>
      </c>
      <c r="D8" s="3" t="s">
        <v>192</v>
      </c>
      <c r="E8" s="3" t="s">
        <v>192</v>
      </c>
      <c r="F8" s="3" t="s">
        <v>192</v>
      </c>
      <c r="G8" s="3" t="s">
        <v>192</v>
      </c>
      <c r="H8" s="3">
        <v>1</v>
      </c>
      <c r="I8" s="3" t="s">
        <v>192</v>
      </c>
      <c r="J8" s="3" t="s">
        <v>192</v>
      </c>
      <c r="K8" s="3" t="s">
        <v>192</v>
      </c>
      <c r="L8" s="3" t="s">
        <v>192</v>
      </c>
      <c r="M8" s="3" t="s">
        <v>192</v>
      </c>
      <c r="N8" s="3" t="s">
        <v>192</v>
      </c>
      <c r="O8" s="3" t="s">
        <v>192</v>
      </c>
      <c r="P8" s="3" t="s">
        <v>192</v>
      </c>
      <c r="Q8" s="3" t="s">
        <v>192</v>
      </c>
      <c r="R8" s="3" t="s">
        <v>192</v>
      </c>
      <c r="S8" s="3" t="s">
        <v>192</v>
      </c>
      <c r="T8" s="3" t="s">
        <v>192</v>
      </c>
      <c r="U8" s="3">
        <v>1</v>
      </c>
      <c r="V8" s="3" t="s">
        <v>192</v>
      </c>
      <c r="W8" s="3" t="s">
        <v>192</v>
      </c>
      <c r="X8" s="3" t="s">
        <v>192</v>
      </c>
      <c r="Y8" s="3" t="s">
        <v>192</v>
      </c>
      <c r="Z8" s="3" t="s">
        <v>192</v>
      </c>
      <c r="AA8" s="3" t="s">
        <v>192</v>
      </c>
      <c r="AB8" s="3" t="s">
        <v>192</v>
      </c>
      <c r="AC8" s="3" t="s">
        <v>192</v>
      </c>
      <c r="AD8" s="3" t="s">
        <v>192</v>
      </c>
      <c r="AE8" s="3" t="s">
        <v>192</v>
      </c>
      <c r="AF8" s="3" t="s">
        <v>192</v>
      </c>
      <c r="AG8" s="3" t="s">
        <v>192</v>
      </c>
      <c r="AH8" s="3" t="s">
        <v>192</v>
      </c>
      <c r="AI8" s="3" t="s">
        <v>192</v>
      </c>
      <c r="AJ8" s="3" t="s">
        <v>192</v>
      </c>
      <c r="AK8" s="3" t="s">
        <v>192</v>
      </c>
      <c r="AL8" s="3" t="s">
        <v>192</v>
      </c>
      <c r="AM8" s="3" t="s">
        <v>192</v>
      </c>
      <c r="AN8" s="3" t="s">
        <v>192</v>
      </c>
      <c r="AO8" s="3">
        <v>1</v>
      </c>
      <c r="AP8" s="3" t="s">
        <v>192</v>
      </c>
      <c r="AQ8" s="3">
        <v>1</v>
      </c>
      <c r="AR8" s="3" t="s">
        <v>192</v>
      </c>
      <c r="AS8" s="3" t="s">
        <v>192</v>
      </c>
      <c r="AT8" s="3" t="s">
        <v>192</v>
      </c>
      <c r="AU8" s="3" t="s">
        <v>192</v>
      </c>
      <c r="AV8" s="3" t="s">
        <v>192</v>
      </c>
      <c r="AW8" s="3">
        <v>1</v>
      </c>
      <c r="AX8" s="3" t="s">
        <v>192</v>
      </c>
      <c r="AY8" s="3" t="s">
        <v>192</v>
      </c>
      <c r="AZ8" s="3">
        <v>1</v>
      </c>
      <c r="BA8" s="3" t="s">
        <v>192</v>
      </c>
      <c r="BB8" s="3" t="s">
        <v>192</v>
      </c>
      <c r="BC8" s="3" t="s">
        <v>192</v>
      </c>
      <c r="BD8" s="3" t="s">
        <v>192</v>
      </c>
      <c r="BE8" s="3" t="s">
        <v>192</v>
      </c>
      <c r="BF8" s="3" t="s">
        <v>192</v>
      </c>
      <c r="BG8" s="3" t="s">
        <v>192</v>
      </c>
      <c r="BH8" s="3" t="s">
        <v>192</v>
      </c>
      <c r="BI8" s="3" t="s">
        <v>192</v>
      </c>
      <c r="BJ8" s="3">
        <v>1</v>
      </c>
      <c r="BK8" s="3" t="s">
        <v>192</v>
      </c>
      <c r="BL8" s="3">
        <v>3</v>
      </c>
      <c r="BM8" s="3" t="s">
        <v>192</v>
      </c>
      <c r="BN8" s="3" t="s">
        <v>192</v>
      </c>
      <c r="BO8" s="3" t="s">
        <v>192</v>
      </c>
      <c r="BP8" s="3" t="s">
        <v>192</v>
      </c>
      <c r="BQ8" s="3" t="s">
        <v>192</v>
      </c>
      <c r="BR8" s="3" t="s">
        <v>192</v>
      </c>
      <c r="BS8" s="3">
        <v>3</v>
      </c>
      <c r="BT8" s="3" t="s">
        <v>192</v>
      </c>
      <c r="BU8" s="3" t="s">
        <v>192</v>
      </c>
      <c r="BV8" s="3" t="s">
        <v>192</v>
      </c>
      <c r="BW8" s="3" t="s">
        <v>192</v>
      </c>
      <c r="BX8" s="3" t="s">
        <v>192</v>
      </c>
      <c r="BY8" s="3" t="s">
        <v>192</v>
      </c>
      <c r="BZ8" s="3" t="s">
        <v>192</v>
      </c>
      <c r="CA8" s="3" t="s">
        <v>192</v>
      </c>
      <c r="CB8" s="3" t="s">
        <v>192</v>
      </c>
      <c r="CC8" s="3" t="s">
        <v>192</v>
      </c>
      <c r="CD8" s="3" t="s">
        <v>192</v>
      </c>
      <c r="CE8" s="3" t="s">
        <v>192</v>
      </c>
      <c r="CF8" s="3">
        <v>2</v>
      </c>
      <c r="CG8" s="3">
        <v>3</v>
      </c>
      <c r="CH8" s="3" t="s">
        <v>192</v>
      </c>
      <c r="CI8" s="3" t="s">
        <v>192</v>
      </c>
      <c r="CJ8" s="3" t="s">
        <v>192</v>
      </c>
      <c r="CK8" s="3" t="s">
        <v>192</v>
      </c>
      <c r="CL8" s="3" t="s">
        <v>192</v>
      </c>
      <c r="CM8" s="3" t="s">
        <v>192</v>
      </c>
      <c r="CN8" s="3" t="s">
        <v>192</v>
      </c>
      <c r="CO8" s="3" t="s">
        <v>192</v>
      </c>
      <c r="CP8" s="3" t="s">
        <v>192</v>
      </c>
      <c r="CQ8" s="3" t="s">
        <v>192</v>
      </c>
      <c r="CR8" s="3" t="s">
        <v>192</v>
      </c>
      <c r="CS8" s="3" t="s">
        <v>192</v>
      </c>
      <c r="CT8" s="1">
        <f>SUM(Table7[[#This Row],[Acyl_amino_acids]:[T3PKS]])</f>
        <v>18</v>
      </c>
      <c r="CU8" s="3" t="s">
        <v>196</v>
      </c>
      <c r="CW8" s="1">
        <f>Table7[[#This Row],[NRPS]]</f>
        <v>3</v>
      </c>
      <c r="CX8" s="1">
        <f>SUM(CP8,CR8,CS8,Table7[[#This Row],[T1PKS, T3PKS]])</f>
        <v>0</v>
      </c>
      <c r="CY8" s="1">
        <f t="shared" si="0"/>
        <v>3</v>
      </c>
      <c r="CZ8" s="1">
        <f>Table7[[#This Row],[Terpene]]</f>
        <v>3</v>
      </c>
      <c r="DA8" s="1">
        <f>SUM(Table7[[#This Row],[Thiopeptide]],BH8,BF8,BE8,BC8,AZ8,AX8,AW8,AJ8,AH8,N8,L8,J8,H8,I8,K8,R8,Q8,Table7[[#This Row],[Cyanobactin, LAP]])</f>
        <v>3</v>
      </c>
      <c r="DB8" s="1">
        <f>SUM(CO8,CN8,CL8,CK8,CJ8,CI8,CH8,CF8,CE8,CD8,CB8,CA8,BZ8,BY8,BX8,BW8,BV8,BT8,BR8,BQ8,BP8,BO8,BM8,BK8,BJ8,BI8,BG8,BD8,BB8,BA8,AY8,AV8,AU8,AT8,AS8,AR8,AQ8,AP8,AO8,AN8,AM8,AL8,AK8,AG8,AF8,AE8,AD8,AC8,AB8,AA8,Z8,Y8,X8,W8,V8,U8,T8,S8,P8,O8,M8,Table7[[#This Row],[Acyl_amino_acids]],E8,F8,G8,)</f>
        <v>6</v>
      </c>
    </row>
    <row r="9" spans="1:106" x14ac:dyDescent="0.25">
      <c r="A9" s="9" t="s">
        <v>768</v>
      </c>
      <c r="B9" s="1" t="s">
        <v>435</v>
      </c>
      <c r="C9" s="1" t="s">
        <v>217</v>
      </c>
      <c r="D9" s="3" t="s">
        <v>192</v>
      </c>
      <c r="E9" s="3" t="s">
        <v>192</v>
      </c>
      <c r="F9" s="3" t="s">
        <v>192</v>
      </c>
      <c r="G9" s="3" t="s">
        <v>192</v>
      </c>
      <c r="H9" s="3">
        <v>3</v>
      </c>
      <c r="I9" s="3" t="s">
        <v>192</v>
      </c>
      <c r="J9" s="3" t="s">
        <v>192</v>
      </c>
      <c r="K9" s="3" t="s">
        <v>192</v>
      </c>
      <c r="L9" s="3" t="s">
        <v>192</v>
      </c>
      <c r="M9" s="3" t="s">
        <v>192</v>
      </c>
      <c r="N9" s="3" t="s">
        <v>192</v>
      </c>
      <c r="O9" s="3" t="s">
        <v>192</v>
      </c>
      <c r="P9" s="3" t="s">
        <v>192</v>
      </c>
      <c r="Q9" s="3" t="s">
        <v>192</v>
      </c>
      <c r="R9" s="3" t="s">
        <v>192</v>
      </c>
      <c r="S9" s="3" t="s">
        <v>192</v>
      </c>
      <c r="T9" s="3" t="s">
        <v>192</v>
      </c>
      <c r="U9" s="3" t="s">
        <v>192</v>
      </c>
      <c r="V9" s="3" t="s">
        <v>192</v>
      </c>
      <c r="W9" s="3" t="s">
        <v>192</v>
      </c>
      <c r="X9" s="3" t="s">
        <v>192</v>
      </c>
      <c r="Y9" s="3" t="s">
        <v>192</v>
      </c>
      <c r="Z9" s="3" t="s">
        <v>192</v>
      </c>
      <c r="AA9" s="3" t="s">
        <v>192</v>
      </c>
      <c r="AB9" s="3" t="s">
        <v>192</v>
      </c>
      <c r="AC9" s="3" t="s">
        <v>192</v>
      </c>
      <c r="AD9" s="3" t="s">
        <v>192</v>
      </c>
      <c r="AE9" s="3" t="s">
        <v>192</v>
      </c>
      <c r="AF9" s="3" t="s">
        <v>192</v>
      </c>
      <c r="AG9" s="3" t="s">
        <v>192</v>
      </c>
      <c r="AH9" s="3" t="s">
        <v>192</v>
      </c>
      <c r="AI9" s="3" t="s">
        <v>192</v>
      </c>
      <c r="AJ9" s="3" t="s">
        <v>192</v>
      </c>
      <c r="AK9" s="3" t="s">
        <v>192</v>
      </c>
      <c r="AL9" s="3" t="s">
        <v>192</v>
      </c>
      <c r="AM9" s="3" t="s">
        <v>192</v>
      </c>
      <c r="AN9" s="3" t="s">
        <v>192</v>
      </c>
      <c r="AO9" s="3" t="s">
        <v>192</v>
      </c>
      <c r="AP9" s="3" t="s">
        <v>192</v>
      </c>
      <c r="AQ9" s="3">
        <v>1</v>
      </c>
      <c r="AR9" s="3" t="s">
        <v>192</v>
      </c>
      <c r="AS9" s="3" t="s">
        <v>192</v>
      </c>
      <c r="AT9" s="3" t="s">
        <v>192</v>
      </c>
      <c r="AU9" s="3" t="s">
        <v>192</v>
      </c>
      <c r="AV9" s="3" t="s">
        <v>192</v>
      </c>
      <c r="AW9" s="3" t="s">
        <v>192</v>
      </c>
      <c r="AX9" s="3" t="s">
        <v>192</v>
      </c>
      <c r="AY9" s="3" t="s">
        <v>192</v>
      </c>
      <c r="AZ9" s="3" t="s">
        <v>192</v>
      </c>
      <c r="BA9" s="3" t="s">
        <v>192</v>
      </c>
      <c r="BB9" s="3" t="s">
        <v>192</v>
      </c>
      <c r="BC9" s="3" t="s">
        <v>192</v>
      </c>
      <c r="BD9" s="3">
        <v>1</v>
      </c>
      <c r="BE9" s="3" t="s">
        <v>192</v>
      </c>
      <c r="BF9" s="3">
        <v>1</v>
      </c>
      <c r="BG9" s="3" t="s">
        <v>192</v>
      </c>
      <c r="BH9" s="3" t="s">
        <v>192</v>
      </c>
      <c r="BI9" s="3" t="s">
        <v>192</v>
      </c>
      <c r="BJ9" s="3" t="s">
        <v>192</v>
      </c>
      <c r="BK9" s="3" t="s">
        <v>192</v>
      </c>
      <c r="BL9" s="3">
        <v>1</v>
      </c>
      <c r="BM9" s="3" t="s">
        <v>192</v>
      </c>
      <c r="BN9" s="3" t="s">
        <v>192</v>
      </c>
      <c r="BO9" s="3" t="s">
        <v>192</v>
      </c>
      <c r="BP9" s="3" t="s">
        <v>192</v>
      </c>
      <c r="BQ9" s="3" t="s">
        <v>192</v>
      </c>
      <c r="BR9" s="3" t="s">
        <v>192</v>
      </c>
      <c r="BS9" s="3">
        <v>1</v>
      </c>
      <c r="BT9" s="3" t="s">
        <v>192</v>
      </c>
      <c r="BU9" s="3" t="s">
        <v>192</v>
      </c>
      <c r="BV9" s="3" t="s">
        <v>192</v>
      </c>
      <c r="BW9" s="3" t="s">
        <v>192</v>
      </c>
      <c r="BX9" s="3" t="s">
        <v>192</v>
      </c>
      <c r="BY9" s="3" t="s">
        <v>192</v>
      </c>
      <c r="BZ9" s="3" t="s">
        <v>192</v>
      </c>
      <c r="CA9" s="3" t="s">
        <v>192</v>
      </c>
      <c r="CB9" s="3" t="s">
        <v>192</v>
      </c>
      <c r="CC9" s="3" t="s">
        <v>192</v>
      </c>
      <c r="CD9" s="3" t="s">
        <v>192</v>
      </c>
      <c r="CE9" s="3" t="s">
        <v>192</v>
      </c>
      <c r="CF9" s="3" t="s">
        <v>192</v>
      </c>
      <c r="CG9" s="3">
        <v>5</v>
      </c>
      <c r="CH9" s="3" t="s">
        <v>192</v>
      </c>
      <c r="CI9" s="3" t="s">
        <v>192</v>
      </c>
      <c r="CJ9" s="3" t="s">
        <v>192</v>
      </c>
      <c r="CK9" s="3" t="s">
        <v>192</v>
      </c>
      <c r="CL9" s="3" t="s">
        <v>192</v>
      </c>
      <c r="CM9" s="3" t="s">
        <v>192</v>
      </c>
      <c r="CN9" s="3" t="s">
        <v>192</v>
      </c>
      <c r="CO9" s="3" t="s">
        <v>192</v>
      </c>
      <c r="CP9" s="3" t="s">
        <v>192</v>
      </c>
      <c r="CQ9" s="3" t="s">
        <v>192</v>
      </c>
      <c r="CR9" s="3" t="s">
        <v>192</v>
      </c>
      <c r="CS9" s="3" t="s">
        <v>192</v>
      </c>
      <c r="CT9" s="1">
        <f>SUM(Table7[[#This Row],[Acyl_amino_acids]:[T3PKS]])</f>
        <v>13</v>
      </c>
      <c r="CU9" s="3" t="s">
        <v>218</v>
      </c>
      <c r="CW9" s="1">
        <f>Table7[[#This Row],[NRPS]]</f>
        <v>1</v>
      </c>
      <c r="CX9" s="1">
        <f>SUM(CP9,CR9,CS9,Table7[[#This Row],[T1PKS, T3PKS]])</f>
        <v>0</v>
      </c>
      <c r="CY9" s="1">
        <f t="shared" si="0"/>
        <v>1</v>
      </c>
      <c r="CZ9" s="1">
        <f>Table7[[#This Row],[Terpene]]</f>
        <v>5</v>
      </c>
      <c r="DA9" s="1">
        <f>SUM(Table7[[#This Row],[Thiopeptide]],BH9,BF9,BE9,BC9,AZ9,AX9,AW9,AJ9,AH9,N9,L9,J9,H9,I9,K9,R9,Q9,Table7[[#This Row],[Cyanobactin, LAP]])</f>
        <v>4</v>
      </c>
      <c r="DB9" s="1">
        <f>SUM(CO9,CN9,CL9,CK9,CJ9,CI9,CH9,CF9,CE9,CD9,CB9,CA9,BZ9,BY9,BX9,BW9,BV9,BT9,BR9,BQ9,BP9,BO9,BM9,BK9,BJ9,BI9,BG9,BD9,BB9,BA9,AY9,AV9,AU9,AT9,AS9,AR9,AQ9,AP9,AO9,AN9,AM9,AL9,AK9,AG9,AF9,AE9,AD9,AC9,AB9,AA9,Z9,Y9,X9,W9,V9,U9,T9,S9,P9,O9,M9,Table7[[#This Row],[Acyl_amino_acids]],E9,F9,G9,)</f>
        <v>2</v>
      </c>
    </row>
    <row r="10" spans="1:106" x14ac:dyDescent="0.25">
      <c r="A10" s="9" t="s">
        <v>706</v>
      </c>
      <c r="B10" s="1" t="s">
        <v>435</v>
      </c>
      <c r="C10" s="1" t="s">
        <v>220</v>
      </c>
      <c r="D10" s="1" t="s">
        <v>192</v>
      </c>
      <c r="E10" s="1" t="s">
        <v>192</v>
      </c>
      <c r="F10" s="1" t="s">
        <v>192</v>
      </c>
      <c r="G10" s="1" t="s">
        <v>192</v>
      </c>
      <c r="H10" s="1" t="s">
        <v>192</v>
      </c>
      <c r="I10" s="1" t="s">
        <v>192</v>
      </c>
      <c r="J10" s="1">
        <v>1</v>
      </c>
      <c r="K10" s="1" t="s">
        <v>192</v>
      </c>
      <c r="L10" s="1" t="s">
        <v>192</v>
      </c>
      <c r="M10" s="1" t="s">
        <v>192</v>
      </c>
      <c r="N10" s="1" t="s">
        <v>192</v>
      </c>
      <c r="O10" s="1" t="s">
        <v>192</v>
      </c>
      <c r="P10" s="1" t="s">
        <v>192</v>
      </c>
      <c r="Q10" s="1" t="s">
        <v>192</v>
      </c>
      <c r="R10" s="1" t="s">
        <v>192</v>
      </c>
      <c r="S10" s="1" t="s">
        <v>192</v>
      </c>
      <c r="T10" s="1" t="s">
        <v>192</v>
      </c>
      <c r="U10" s="1" t="s">
        <v>192</v>
      </c>
      <c r="V10" s="1">
        <v>1</v>
      </c>
      <c r="W10" s="1" t="s">
        <v>192</v>
      </c>
      <c r="X10" s="1" t="s">
        <v>192</v>
      </c>
      <c r="Y10" s="1" t="s">
        <v>192</v>
      </c>
      <c r="Z10" s="1" t="s">
        <v>192</v>
      </c>
      <c r="AA10" s="1" t="s">
        <v>192</v>
      </c>
      <c r="AB10" s="1" t="s">
        <v>192</v>
      </c>
      <c r="AC10" s="1" t="s">
        <v>192</v>
      </c>
      <c r="AD10" s="1" t="s">
        <v>192</v>
      </c>
      <c r="AE10" s="1" t="s">
        <v>192</v>
      </c>
      <c r="AF10" s="1" t="s">
        <v>192</v>
      </c>
      <c r="AG10" s="1" t="s">
        <v>192</v>
      </c>
      <c r="AH10" s="1" t="s">
        <v>192</v>
      </c>
      <c r="AI10" s="1" t="s">
        <v>192</v>
      </c>
      <c r="AJ10" s="1" t="s">
        <v>192</v>
      </c>
      <c r="AK10" s="1" t="s">
        <v>192</v>
      </c>
      <c r="AL10" s="1" t="s">
        <v>192</v>
      </c>
      <c r="AM10" s="1" t="s">
        <v>192</v>
      </c>
      <c r="AN10" s="1" t="s">
        <v>192</v>
      </c>
      <c r="AO10" s="1" t="s">
        <v>192</v>
      </c>
      <c r="AP10" s="1" t="s">
        <v>192</v>
      </c>
      <c r="AQ10" s="1" t="s">
        <v>192</v>
      </c>
      <c r="AR10" s="1" t="s">
        <v>192</v>
      </c>
      <c r="AS10" s="1" t="s">
        <v>192</v>
      </c>
      <c r="AT10" s="1" t="s">
        <v>192</v>
      </c>
      <c r="AU10" s="1" t="s">
        <v>192</v>
      </c>
      <c r="AV10" s="1" t="s">
        <v>192</v>
      </c>
      <c r="AW10" s="1" t="s">
        <v>192</v>
      </c>
      <c r="AX10" s="1" t="s">
        <v>192</v>
      </c>
      <c r="AY10" s="1" t="s">
        <v>192</v>
      </c>
      <c r="AZ10" s="1" t="s">
        <v>192</v>
      </c>
      <c r="BA10" s="1" t="s">
        <v>192</v>
      </c>
      <c r="BB10" s="1" t="s">
        <v>192</v>
      </c>
      <c r="BC10" s="1" t="s">
        <v>192</v>
      </c>
      <c r="BD10" s="1" t="s">
        <v>192</v>
      </c>
      <c r="BE10" s="1" t="s">
        <v>192</v>
      </c>
      <c r="BF10" s="1" t="s">
        <v>192</v>
      </c>
      <c r="BG10" s="1" t="s">
        <v>192</v>
      </c>
      <c r="BH10" s="1" t="s">
        <v>192</v>
      </c>
      <c r="BI10" s="1" t="s">
        <v>192</v>
      </c>
      <c r="BJ10" s="1" t="s">
        <v>192</v>
      </c>
      <c r="BK10" s="1" t="s">
        <v>192</v>
      </c>
      <c r="BL10" s="1" t="s">
        <v>192</v>
      </c>
      <c r="BM10" s="1" t="s">
        <v>192</v>
      </c>
      <c r="BN10" s="1" t="s">
        <v>192</v>
      </c>
      <c r="BO10" s="1" t="s">
        <v>192</v>
      </c>
      <c r="BP10" s="1" t="s">
        <v>192</v>
      </c>
      <c r="BQ10" s="1" t="s">
        <v>192</v>
      </c>
      <c r="BR10" s="1" t="s">
        <v>192</v>
      </c>
      <c r="BS10" s="1" t="s">
        <v>192</v>
      </c>
      <c r="BT10" s="1" t="s">
        <v>192</v>
      </c>
      <c r="BU10" s="1" t="s">
        <v>192</v>
      </c>
      <c r="BV10" s="1" t="s">
        <v>192</v>
      </c>
      <c r="BW10" s="1" t="s">
        <v>192</v>
      </c>
      <c r="BX10" s="1" t="s">
        <v>192</v>
      </c>
      <c r="BY10" s="1" t="s">
        <v>192</v>
      </c>
      <c r="BZ10" s="1" t="s">
        <v>192</v>
      </c>
      <c r="CA10" s="1" t="s">
        <v>192</v>
      </c>
      <c r="CB10" s="1" t="s">
        <v>192</v>
      </c>
      <c r="CC10" s="1" t="s">
        <v>192</v>
      </c>
      <c r="CD10" s="1" t="s">
        <v>192</v>
      </c>
      <c r="CE10" s="1" t="s">
        <v>192</v>
      </c>
      <c r="CF10" s="1" t="s">
        <v>192</v>
      </c>
      <c r="CG10" s="1" t="s">
        <v>192</v>
      </c>
      <c r="CH10" s="1" t="s">
        <v>192</v>
      </c>
      <c r="CI10" s="1" t="s">
        <v>192</v>
      </c>
      <c r="CJ10" s="1" t="s">
        <v>192</v>
      </c>
      <c r="CK10" s="1" t="s">
        <v>192</v>
      </c>
      <c r="CL10" s="1" t="s">
        <v>192</v>
      </c>
      <c r="CM10" s="1" t="s">
        <v>192</v>
      </c>
      <c r="CN10" s="1" t="s">
        <v>192</v>
      </c>
      <c r="CO10" s="1" t="s">
        <v>192</v>
      </c>
      <c r="CP10" s="1" t="s">
        <v>192</v>
      </c>
      <c r="CQ10" s="1" t="s">
        <v>192</v>
      </c>
      <c r="CR10" s="1" t="s">
        <v>192</v>
      </c>
      <c r="CS10" s="1" t="s">
        <v>192</v>
      </c>
      <c r="CT10" s="1">
        <f>SUM(Table7[[#This Row],[Acyl_amino_acids]:[T3PKS]])</f>
        <v>2</v>
      </c>
      <c r="CU10" s="1" t="s">
        <v>192</v>
      </c>
      <c r="CW10" s="1" t="str">
        <f>Table7[[#This Row],[NRPS]]</f>
        <v>-</v>
      </c>
      <c r="CX10" s="1">
        <f>SUM(CP10,CR10,CS10,Table7[[#This Row],[T1PKS, T3PKS]])</f>
        <v>0</v>
      </c>
      <c r="CY10" s="1">
        <f t="shared" si="0"/>
        <v>0</v>
      </c>
      <c r="CZ10" s="1" t="str">
        <f>Table7[[#This Row],[Terpene]]</f>
        <v>-</v>
      </c>
      <c r="DA10" s="1">
        <f>SUM(Table7[[#This Row],[Thiopeptide]],BH10,BF10,BE10,BC10,AZ10,AX10,AW10,AJ10,AH10,N10,L10,J10,H10,I10,K10,R10,Q10,Table7[[#This Row],[Cyanobactin, LAP]])</f>
        <v>1</v>
      </c>
      <c r="DB10" s="1">
        <f>SUM(CO10,CN10,CL10,CK10,CJ10,CI10,CH10,CF10,CE10,CD10,CB10,CA10,BZ10,BY10,BX10,BW10,BV10,BT10,BR10,BQ10,BP10,BO10,BM10,BK10,BJ10,BI10,BG10,BD10,BB10,BA10,AY10,AV10,AU10,AT10,AS10,AR10,AQ10,AP10,AO10,AN10,AM10,AL10,AK10,AG10,AF10,AE10,AD10,AC10,AB10,AA10,Z10,Y10,X10,W10,V10,U10,T10,S10,P10,O10,M10,Table7[[#This Row],[Acyl_amino_acids]],E10,F10,G10,)</f>
        <v>1</v>
      </c>
    </row>
    <row r="11" spans="1:106" x14ac:dyDescent="0.25">
      <c r="A11" s="9" t="s">
        <v>700</v>
      </c>
      <c r="B11" s="1" t="s">
        <v>435</v>
      </c>
      <c r="C11" s="1" t="s">
        <v>221</v>
      </c>
      <c r="D11" s="1" t="s">
        <v>192</v>
      </c>
      <c r="E11" s="1" t="s">
        <v>192</v>
      </c>
      <c r="F11" s="1" t="s">
        <v>192</v>
      </c>
      <c r="G11" s="1" t="s">
        <v>192</v>
      </c>
      <c r="H11" s="1">
        <v>1</v>
      </c>
      <c r="I11" s="1" t="s">
        <v>192</v>
      </c>
      <c r="J11" s="1">
        <v>1</v>
      </c>
      <c r="K11" s="1" t="s">
        <v>192</v>
      </c>
      <c r="L11" s="1" t="s">
        <v>192</v>
      </c>
      <c r="M11" s="1" t="s">
        <v>192</v>
      </c>
      <c r="N11" s="1" t="s">
        <v>192</v>
      </c>
      <c r="O11" s="1" t="s">
        <v>192</v>
      </c>
      <c r="P11" s="1" t="s">
        <v>192</v>
      </c>
      <c r="Q11" s="1" t="s">
        <v>192</v>
      </c>
      <c r="R11" s="1" t="s">
        <v>192</v>
      </c>
      <c r="S11" s="1" t="s">
        <v>192</v>
      </c>
      <c r="T11" s="1" t="s">
        <v>192</v>
      </c>
      <c r="U11" s="1" t="s">
        <v>192</v>
      </c>
      <c r="V11" s="1" t="s">
        <v>192</v>
      </c>
      <c r="W11" s="1" t="s">
        <v>192</v>
      </c>
      <c r="X11" s="1" t="s">
        <v>192</v>
      </c>
      <c r="Y11" s="1" t="s">
        <v>192</v>
      </c>
      <c r="Z11" s="1" t="s">
        <v>192</v>
      </c>
      <c r="AA11" s="1" t="s">
        <v>192</v>
      </c>
      <c r="AB11" s="1" t="s">
        <v>192</v>
      </c>
      <c r="AC11" s="1" t="s">
        <v>192</v>
      </c>
      <c r="AD11" s="1" t="s">
        <v>192</v>
      </c>
      <c r="AE11" s="1" t="s">
        <v>192</v>
      </c>
      <c r="AF11" s="1" t="s">
        <v>192</v>
      </c>
      <c r="AG11" s="1" t="s">
        <v>192</v>
      </c>
      <c r="AH11" s="1" t="s">
        <v>192</v>
      </c>
      <c r="AI11" s="1" t="s">
        <v>192</v>
      </c>
      <c r="AJ11" s="1" t="s">
        <v>192</v>
      </c>
      <c r="AK11" s="1" t="s">
        <v>192</v>
      </c>
      <c r="AL11" s="1" t="s">
        <v>192</v>
      </c>
      <c r="AM11" s="1" t="s">
        <v>192</v>
      </c>
      <c r="AN11" s="1" t="s">
        <v>192</v>
      </c>
      <c r="AO11" s="1" t="s">
        <v>192</v>
      </c>
      <c r="AP11" s="1" t="s">
        <v>192</v>
      </c>
      <c r="AQ11" s="1" t="s">
        <v>192</v>
      </c>
      <c r="AR11" s="1" t="s">
        <v>192</v>
      </c>
      <c r="AS11" s="1" t="s">
        <v>192</v>
      </c>
      <c r="AT11" s="1" t="s">
        <v>192</v>
      </c>
      <c r="AU11" s="1" t="s">
        <v>192</v>
      </c>
      <c r="AV11" s="1" t="s">
        <v>192</v>
      </c>
      <c r="AW11" s="1" t="s">
        <v>192</v>
      </c>
      <c r="AX11" s="1" t="s">
        <v>192</v>
      </c>
      <c r="AY11" s="1" t="s">
        <v>192</v>
      </c>
      <c r="AZ11" s="1" t="s">
        <v>192</v>
      </c>
      <c r="BA11" s="1" t="s">
        <v>192</v>
      </c>
      <c r="BB11" s="1" t="s">
        <v>192</v>
      </c>
      <c r="BC11" s="1" t="s">
        <v>192</v>
      </c>
      <c r="BD11" s="1" t="s">
        <v>192</v>
      </c>
      <c r="BE11" s="1" t="s">
        <v>192</v>
      </c>
      <c r="BF11" s="1" t="s">
        <v>192</v>
      </c>
      <c r="BG11" s="1" t="s">
        <v>192</v>
      </c>
      <c r="BH11" s="1" t="s">
        <v>192</v>
      </c>
      <c r="BI11" s="1" t="s">
        <v>192</v>
      </c>
      <c r="BJ11" s="1" t="s">
        <v>192</v>
      </c>
      <c r="BK11" s="1" t="s">
        <v>192</v>
      </c>
      <c r="BL11" s="1" t="s">
        <v>192</v>
      </c>
      <c r="BM11" s="1" t="s">
        <v>192</v>
      </c>
      <c r="BN11" s="1" t="s">
        <v>192</v>
      </c>
      <c r="BO11" s="1" t="s">
        <v>192</v>
      </c>
      <c r="BP11" s="1" t="s">
        <v>192</v>
      </c>
      <c r="BQ11" s="1" t="s">
        <v>192</v>
      </c>
      <c r="BR11" s="1" t="s">
        <v>192</v>
      </c>
      <c r="BS11" s="1" t="s">
        <v>192</v>
      </c>
      <c r="BT11" s="1" t="s">
        <v>192</v>
      </c>
      <c r="BU11" s="1" t="s">
        <v>192</v>
      </c>
      <c r="BV11" s="1" t="s">
        <v>192</v>
      </c>
      <c r="BW11" s="1" t="s">
        <v>192</v>
      </c>
      <c r="BX11" s="1" t="s">
        <v>192</v>
      </c>
      <c r="BY11" s="1" t="s">
        <v>192</v>
      </c>
      <c r="BZ11" s="1" t="s">
        <v>192</v>
      </c>
      <c r="CA11" s="1" t="s">
        <v>192</v>
      </c>
      <c r="CB11" s="1" t="s">
        <v>192</v>
      </c>
      <c r="CC11" s="1" t="s">
        <v>192</v>
      </c>
      <c r="CD11" s="1" t="s">
        <v>192</v>
      </c>
      <c r="CE11" s="1" t="s">
        <v>192</v>
      </c>
      <c r="CF11" s="1" t="s">
        <v>192</v>
      </c>
      <c r="CG11" s="1">
        <v>1</v>
      </c>
      <c r="CH11" s="1" t="s">
        <v>192</v>
      </c>
      <c r="CI11" s="1" t="s">
        <v>192</v>
      </c>
      <c r="CJ11" s="1" t="s">
        <v>192</v>
      </c>
      <c r="CK11" s="1" t="s">
        <v>192</v>
      </c>
      <c r="CL11" s="1" t="s">
        <v>192</v>
      </c>
      <c r="CM11" s="1" t="s">
        <v>192</v>
      </c>
      <c r="CN11" s="1" t="s">
        <v>192</v>
      </c>
      <c r="CO11" s="1" t="s">
        <v>192</v>
      </c>
      <c r="CP11" s="1" t="s">
        <v>192</v>
      </c>
      <c r="CQ11" s="1" t="s">
        <v>192</v>
      </c>
      <c r="CR11" s="1" t="s">
        <v>192</v>
      </c>
      <c r="CS11" s="1" t="s">
        <v>192</v>
      </c>
      <c r="CT11" s="1">
        <f>SUM(Table7[[#This Row],[Acyl_amino_acids]:[T3PKS]])</f>
        <v>3</v>
      </c>
      <c r="CU11" s="1" t="s">
        <v>192</v>
      </c>
      <c r="CW11" s="1" t="str">
        <f>Table7[[#This Row],[NRPS]]</f>
        <v>-</v>
      </c>
      <c r="CX11" s="1">
        <f>SUM(CP11,CR11,CS11,Table7[[#This Row],[T1PKS, T3PKS]])</f>
        <v>0</v>
      </c>
      <c r="CY11" s="1">
        <f t="shared" si="0"/>
        <v>0</v>
      </c>
      <c r="CZ11" s="1">
        <f>Table7[[#This Row],[Terpene]]</f>
        <v>1</v>
      </c>
      <c r="DA11" s="1">
        <f>SUM(Table7[[#This Row],[Thiopeptide]],BH11,BF11,BE11,BC11,AZ11,AX11,AW11,AJ11,AH11,N11,L11,J11,H11,I11,K11,R11,Q11,Table7[[#This Row],[Cyanobactin, LAP]])</f>
        <v>2</v>
      </c>
      <c r="DB11" s="1">
        <f>SUM(CO11,CN11,CL11,CK11,CJ11,CI11,CH11,CF11,CE11,CD11,CB11,CA11,BZ11,BY11,BX11,BW11,BV11,BT11,BR11,BQ11,BP11,BO11,BM11,BK11,BJ11,BI11,BG11,BD11,BB11,BA11,AY11,AV11,AU11,AT11,AS11,AR11,AQ11,AP11,AO11,AN11,AM11,AL11,AK11,AG11,AF11,AE11,AD11,AC11,AB11,AA11,Z11,Y11,X11,W11,V11,U11,T11,S11,P11,O11,M11,Table7[[#This Row],[Acyl_amino_acids]],E11,F11,G11,)</f>
        <v>0</v>
      </c>
    </row>
    <row r="12" spans="1:106" x14ac:dyDescent="0.25">
      <c r="A12" s="9" t="s">
        <v>753</v>
      </c>
      <c r="B12" s="1" t="s">
        <v>435</v>
      </c>
      <c r="C12" s="1" t="s">
        <v>222</v>
      </c>
      <c r="D12" s="1" t="s">
        <v>192</v>
      </c>
      <c r="E12" s="3" t="s">
        <v>192</v>
      </c>
      <c r="F12" s="3" t="s">
        <v>192</v>
      </c>
      <c r="G12" s="3" t="s">
        <v>192</v>
      </c>
      <c r="H12" s="3">
        <v>1</v>
      </c>
      <c r="I12" s="3" t="s">
        <v>192</v>
      </c>
      <c r="J12" s="3">
        <v>1</v>
      </c>
      <c r="K12" s="3" t="s">
        <v>192</v>
      </c>
      <c r="L12" s="3" t="s">
        <v>192</v>
      </c>
      <c r="M12" s="3" t="s">
        <v>192</v>
      </c>
      <c r="N12" s="3" t="s">
        <v>192</v>
      </c>
      <c r="O12" s="3" t="s">
        <v>192</v>
      </c>
      <c r="P12" s="3" t="s">
        <v>192</v>
      </c>
      <c r="Q12" s="3" t="s">
        <v>192</v>
      </c>
      <c r="R12" s="3" t="s">
        <v>192</v>
      </c>
      <c r="S12" s="3" t="s">
        <v>192</v>
      </c>
      <c r="T12" s="3" t="s">
        <v>192</v>
      </c>
      <c r="U12" s="3" t="s">
        <v>192</v>
      </c>
      <c r="V12" s="3" t="s">
        <v>192</v>
      </c>
      <c r="W12" s="3" t="s">
        <v>192</v>
      </c>
      <c r="X12" s="3" t="s">
        <v>192</v>
      </c>
      <c r="Y12" s="3" t="s">
        <v>192</v>
      </c>
      <c r="Z12" s="3" t="s">
        <v>192</v>
      </c>
      <c r="AA12" s="3" t="s">
        <v>192</v>
      </c>
      <c r="AB12" s="3" t="s">
        <v>192</v>
      </c>
      <c r="AC12" s="3" t="s">
        <v>192</v>
      </c>
      <c r="AD12" s="3" t="s">
        <v>192</v>
      </c>
      <c r="AE12" s="3" t="s">
        <v>192</v>
      </c>
      <c r="AF12" s="3" t="s">
        <v>192</v>
      </c>
      <c r="AG12" s="3" t="s">
        <v>192</v>
      </c>
      <c r="AH12" s="3" t="s">
        <v>192</v>
      </c>
      <c r="AI12" s="3" t="s">
        <v>192</v>
      </c>
      <c r="AJ12" s="3" t="s">
        <v>192</v>
      </c>
      <c r="AK12" s="3" t="s">
        <v>192</v>
      </c>
      <c r="AL12" s="3" t="s">
        <v>192</v>
      </c>
      <c r="AM12" s="3" t="s">
        <v>192</v>
      </c>
      <c r="AN12" s="3" t="s">
        <v>192</v>
      </c>
      <c r="AO12" s="3" t="s">
        <v>192</v>
      </c>
      <c r="AP12" s="3" t="s">
        <v>192</v>
      </c>
      <c r="AQ12" s="3" t="s">
        <v>192</v>
      </c>
      <c r="AR12" s="3" t="s">
        <v>192</v>
      </c>
      <c r="AS12" s="3" t="s">
        <v>192</v>
      </c>
      <c r="AT12" s="3" t="s">
        <v>192</v>
      </c>
      <c r="AU12" s="3" t="s">
        <v>192</v>
      </c>
      <c r="AV12" s="3" t="s">
        <v>192</v>
      </c>
      <c r="AW12" s="3" t="s">
        <v>192</v>
      </c>
      <c r="AX12" s="3" t="s">
        <v>192</v>
      </c>
      <c r="AY12" s="3" t="s">
        <v>192</v>
      </c>
      <c r="AZ12" s="3" t="s">
        <v>192</v>
      </c>
      <c r="BA12" s="3" t="s">
        <v>192</v>
      </c>
      <c r="BB12" s="3" t="s">
        <v>192</v>
      </c>
      <c r="BC12" s="3" t="s">
        <v>192</v>
      </c>
      <c r="BD12" s="3" t="s">
        <v>192</v>
      </c>
      <c r="BE12" s="3" t="s">
        <v>192</v>
      </c>
      <c r="BF12" s="3" t="s">
        <v>192</v>
      </c>
      <c r="BG12" s="3" t="s">
        <v>192</v>
      </c>
      <c r="BH12" s="3" t="s">
        <v>192</v>
      </c>
      <c r="BI12" s="3" t="s">
        <v>192</v>
      </c>
      <c r="BJ12" s="3" t="s">
        <v>192</v>
      </c>
      <c r="BK12" s="3" t="s">
        <v>192</v>
      </c>
      <c r="BL12" s="3" t="s">
        <v>192</v>
      </c>
      <c r="BM12" s="3" t="s">
        <v>192</v>
      </c>
      <c r="BN12" s="3" t="s">
        <v>192</v>
      </c>
      <c r="BO12" s="3" t="s">
        <v>192</v>
      </c>
      <c r="BP12" s="3" t="s">
        <v>192</v>
      </c>
      <c r="BQ12" s="3" t="s">
        <v>192</v>
      </c>
      <c r="BR12" s="3" t="s">
        <v>192</v>
      </c>
      <c r="BS12" s="3" t="s">
        <v>192</v>
      </c>
      <c r="BT12" s="3" t="s">
        <v>192</v>
      </c>
      <c r="BU12" s="3" t="s">
        <v>192</v>
      </c>
      <c r="BV12" s="3" t="s">
        <v>192</v>
      </c>
      <c r="BW12" s="3" t="s">
        <v>192</v>
      </c>
      <c r="BX12" s="3" t="s">
        <v>192</v>
      </c>
      <c r="BY12" s="3" t="s">
        <v>192</v>
      </c>
      <c r="BZ12" s="3" t="s">
        <v>192</v>
      </c>
      <c r="CA12" s="3" t="s">
        <v>192</v>
      </c>
      <c r="CB12" s="3" t="s">
        <v>192</v>
      </c>
      <c r="CC12" s="3" t="s">
        <v>192</v>
      </c>
      <c r="CD12" s="3" t="s">
        <v>192</v>
      </c>
      <c r="CE12" s="3" t="s">
        <v>192</v>
      </c>
      <c r="CF12" s="3" t="s">
        <v>192</v>
      </c>
      <c r="CG12" s="3">
        <v>1</v>
      </c>
      <c r="CH12" s="3" t="s">
        <v>192</v>
      </c>
      <c r="CI12" s="3" t="s">
        <v>192</v>
      </c>
      <c r="CJ12" s="3" t="s">
        <v>192</v>
      </c>
      <c r="CK12" s="3" t="s">
        <v>192</v>
      </c>
      <c r="CL12" s="3" t="s">
        <v>192</v>
      </c>
      <c r="CM12" s="3" t="s">
        <v>192</v>
      </c>
      <c r="CN12" s="3" t="s">
        <v>192</v>
      </c>
      <c r="CO12" s="3" t="s">
        <v>192</v>
      </c>
      <c r="CP12" s="3" t="s">
        <v>192</v>
      </c>
      <c r="CQ12" s="3" t="s">
        <v>192</v>
      </c>
      <c r="CR12" s="3" t="s">
        <v>192</v>
      </c>
      <c r="CS12" s="3" t="s">
        <v>192</v>
      </c>
      <c r="CT12" s="1">
        <f>SUM(Table7[[#This Row],[Acyl_amino_acids]:[T3PKS]])</f>
        <v>3</v>
      </c>
      <c r="CU12" s="3" t="s">
        <v>192</v>
      </c>
      <c r="CW12" s="1" t="str">
        <f>Table7[[#This Row],[NRPS]]</f>
        <v>-</v>
      </c>
      <c r="CX12" s="1">
        <f>SUM(CP12,CR12,CS12,Table7[[#This Row],[T1PKS, T3PKS]])</f>
        <v>0</v>
      </c>
      <c r="CY12" s="1">
        <f t="shared" si="0"/>
        <v>0</v>
      </c>
      <c r="CZ12" s="1">
        <f>Table7[[#This Row],[Terpene]]</f>
        <v>1</v>
      </c>
      <c r="DA12" s="1">
        <f>SUM(Table7[[#This Row],[Thiopeptide]],BH12,BF12,BE12,BC12,AZ12,AX12,AW12,AJ12,AH12,N12,L12,J12,H12,I12,K12,R12,Q12,Table7[[#This Row],[Cyanobactin, LAP]])</f>
        <v>2</v>
      </c>
      <c r="DB12" s="1">
        <f>SUM(CO12,CN12,CL12,CK12,CJ12,CI12,CH12,CF12,CE12,CD12,CB12,CA12,BZ12,BY12,BX12,BW12,BV12,BT12,BR12,BQ12,BP12,BO12,BM12,BK12,BJ12,BI12,BG12,BD12,BB12,BA12,AY12,AV12,AU12,AT12,AS12,AR12,AQ12,AP12,AO12,AN12,AM12,AL12,AK12,AG12,AF12,AE12,AD12,AC12,AB12,AA12,Z12,Y12,X12,W12,V12,U12,T12,S12,P12,O12,M12,Table7[[#This Row],[Acyl_amino_acids]],E12,F12,G12,)</f>
        <v>0</v>
      </c>
    </row>
    <row r="13" spans="1:106" x14ac:dyDescent="0.25">
      <c r="A13" s="9" t="s">
        <v>651</v>
      </c>
      <c r="B13" s="1" t="s">
        <v>435</v>
      </c>
      <c r="C13" s="1" t="s">
        <v>225</v>
      </c>
      <c r="D13" s="3" t="s">
        <v>192</v>
      </c>
      <c r="E13" s="3" t="s">
        <v>192</v>
      </c>
      <c r="F13" s="3" t="s">
        <v>192</v>
      </c>
      <c r="G13" s="3" t="s">
        <v>192</v>
      </c>
      <c r="H13" s="3">
        <v>2</v>
      </c>
      <c r="I13" s="3" t="s">
        <v>192</v>
      </c>
      <c r="J13" s="3" t="s">
        <v>192</v>
      </c>
      <c r="K13" s="3" t="s">
        <v>192</v>
      </c>
      <c r="L13" s="3" t="s">
        <v>192</v>
      </c>
      <c r="M13" s="3" t="s">
        <v>192</v>
      </c>
      <c r="N13" s="3" t="s">
        <v>192</v>
      </c>
      <c r="O13" s="3" t="s">
        <v>192</v>
      </c>
      <c r="P13" s="3" t="s">
        <v>192</v>
      </c>
      <c r="Q13" s="3" t="s">
        <v>192</v>
      </c>
      <c r="R13" s="3" t="s">
        <v>192</v>
      </c>
      <c r="S13" s="3" t="s">
        <v>192</v>
      </c>
      <c r="T13" s="3" t="s">
        <v>192</v>
      </c>
      <c r="U13" s="3" t="s">
        <v>192</v>
      </c>
      <c r="V13" s="3" t="s">
        <v>192</v>
      </c>
      <c r="W13" s="3" t="s">
        <v>192</v>
      </c>
      <c r="X13" s="3" t="s">
        <v>192</v>
      </c>
      <c r="Y13" s="3" t="s">
        <v>192</v>
      </c>
      <c r="Z13" s="3" t="s">
        <v>192</v>
      </c>
      <c r="AA13" s="3" t="s">
        <v>192</v>
      </c>
      <c r="AB13" s="3" t="s">
        <v>192</v>
      </c>
      <c r="AC13" s="3" t="s">
        <v>192</v>
      </c>
      <c r="AD13" s="3" t="s">
        <v>192</v>
      </c>
      <c r="AE13" s="3" t="s">
        <v>192</v>
      </c>
      <c r="AF13" s="3" t="s">
        <v>192</v>
      </c>
      <c r="AG13" s="3" t="s">
        <v>192</v>
      </c>
      <c r="AH13" s="3">
        <v>1</v>
      </c>
      <c r="AI13" s="3" t="s">
        <v>192</v>
      </c>
      <c r="AJ13" s="3" t="s">
        <v>192</v>
      </c>
      <c r="AK13" s="3" t="s">
        <v>192</v>
      </c>
      <c r="AL13" s="3" t="s">
        <v>192</v>
      </c>
      <c r="AM13" s="3" t="s">
        <v>192</v>
      </c>
      <c r="AN13" s="3" t="s">
        <v>192</v>
      </c>
      <c r="AO13" s="3" t="s">
        <v>192</v>
      </c>
      <c r="AP13" s="3" t="s">
        <v>192</v>
      </c>
      <c r="AQ13" s="3">
        <v>1</v>
      </c>
      <c r="AR13" s="3" t="s">
        <v>192</v>
      </c>
      <c r="AS13" s="3" t="s">
        <v>192</v>
      </c>
      <c r="AT13" s="3" t="s">
        <v>192</v>
      </c>
      <c r="AU13" s="3" t="s">
        <v>192</v>
      </c>
      <c r="AV13" s="3" t="s">
        <v>192</v>
      </c>
      <c r="AW13" s="3" t="s">
        <v>192</v>
      </c>
      <c r="AX13" s="3" t="s">
        <v>192</v>
      </c>
      <c r="AY13" s="3" t="s">
        <v>192</v>
      </c>
      <c r="AZ13" s="3" t="s">
        <v>192</v>
      </c>
      <c r="BA13" s="3" t="s">
        <v>192</v>
      </c>
      <c r="BB13" s="3" t="s">
        <v>192</v>
      </c>
      <c r="BC13" s="3" t="s">
        <v>192</v>
      </c>
      <c r="BD13" s="3" t="s">
        <v>192</v>
      </c>
      <c r="BE13" s="3" t="s">
        <v>192</v>
      </c>
      <c r="BF13" s="3" t="s">
        <v>192</v>
      </c>
      <c r="BG13" s="3" t="s">
        <v>192</v>
      </c>
      <c r="BH13" s="3" t="s">
        <v>192</v>
      </c>
      <c r="BI13" s="3" t="s">
        <v>192</v>
      </c>
      <c r="BJ13" s="3" t="s">
        <v>192</v>
      </c>
      <c r="BK13" s="3" t="s">
        <v>192</v>
      </c>
      <c r="BL13" s="3">
        <v>4</v>
      </c>
      <c r="BM13" s="3" t="s">
        <v>192</v>
      </c>
      <c r="BN13" s="3" t="s">
        <v>192</v>
      </c>
      <c r="BO13" s="3" t="s">
        <v>192</v>
      </c>
      <c r="BP13" s="3" t="s">
        <v>192</v>
      </c>
      <c r="BQ13" s="3" t="s">
        <v>192</v>
      </c>
      <c r="BR13" s="3" t="s">
        <v>192</v>
      </c>
      <c r="BS13" s="3">
        <v>3</v>
      </c>
      <c r="BT13" s="3" t="s">
        <v>192</v>
      </c>
      <c r="BU13" s="3" t="s">
        <v>192</v>
      </c>
      <c r="BV13" s="3" t="s">
        <v>192</v>
      </c>
      <c r="BW13" s="3" t="s">
        <v>192</v>
      </c>
      <c r="BX13" s="3" t="s">
        <v>192</v>
      </c>
      <c r="BY13" s="3" t="s">
        <v>192</v>
      </c>
      <c r="BZ13" s="3" t="s">
        <v>192</v>
      </c>
      <c r="CA13" s="3" t="s">
        <v>192</v>
      </c>
      <c r="CB13" s="3" t="s">
        <v>192</v>
      </c>
      <c r="CC13" s="3" t="s">
        <v>192</v>
      </c>
      <c r="CD13" s="3" t="s">
        <v>192</v>
      </c>
      <c r="CE13" s="3" t="s">
        <v>192</v>
      </c>
      <c r="CF13" s="3" t="s">
        <v>192</v>
      </c>
      <c r="CG13" s="3">
        <v>4</v>
      </c>
      <c r="CH13" s="3" t="s">
        <v>192</v>
      </c>
      <c r="CI13" s="3" t="s">
        <v>192</v>
      </c>
      <c r="CJ13" s="3" t="s">
        <v>192</v>
      </c>
      <c r="CK13" s="3" t="s">
        <v>192</v>
      </c>
      <c r="CL13" s="3" t="s">
        <v>192</v>
      </c>
      <c r="CM13" s="3" t="s">
        <v>192</v>
      </c>
      <c r="CN13" s="3" t="s">
        <v>192</v>
      </c>
      <c r="CO13" s="3" t="s">
        <v>192</v>
      </c>
      <c r="CP13" s="3" t="s">
        <v>192</v>
      </c>
      <c r="CQ13" s="3" t="s">
        <v>192</v>
      </c>
      <c r="CR13" s="3" t="s">
        <v>192</v>
      </c>
      <c r="CS13" s="3" t="s">
        <v>192</v>
      </c>
      <c r="CT13" s="1">
        <f>SUM(Table7[[#This Row],[Acyl_amino_acids]:[T3PKS]])</f>
        <v>15</v>
      </c>
      <c r="CU13" s="3" t="s">
        <v>218</v>
      </c>
      <c r="CW13" s="1">
        <f>Table7[[#This Row],[NRPS]]</f>
        <v>4</v>
      </c>
      <c r="CX13" s="1">
        <f>SUM(CP13,CR13,CS13,Table7[[#This Row],[T1PKS, T3PKS]])</f>
        <v>0</v>
      </c>
      <c r="CY13" s="1">
        <f t="shared" si="0"/>
        <v>3</v>
      </c>
      <c r="CZ13" s="1">
        <f>Table7[[#This Row],[Terpene]]</f>
        <v>4</v>
      </c>
      <c r="DA13" s="1">
        <f>SUM(Table7[[#This Row],[Thiopeptide]],BH13,BF13,BE13,BC13,AZ13,AX13,AW13,AJ13,AH13,N13,L13,J13,H13,I13,K13,R13,Q13,Table7[[#This Row],[Cyanobactin, LAP]])</f>
        <v>3</v>
      </c>
      <c r="DB13" s="1">
        <f>SUM(CO13,CN13,CL13,CK13,CJ13,CI13,CH13,CF13,CE13,CD13,CB13,CA13,BZ13,BY13,BX13,BW13,BV13,BT13,BR13,BQ13,BP13,BO13,BM13,BK13,BJ13,BI13,BG13,BD13,BB13,BA13,AY13,AV13,AU13,AT13,AS13,AR13,AQ13,AP13,AO13,AN13,AM13,AL13,AK13,AG13,AF13,AE13,AD13,AC13,AB13,AA13,Z13,Y13,X13,W13,V13,U13,T13,S13,P13,O13,M13,Table7[[#This Row],[Acyl_amino_acids]],E13,F13,G13,)</f>
        <v>1</v>
      </c>
    </row>
    <row r="14" spans="1:106" x14ac:dyDescent="0.25">
      <c r="A14" s="9" t="s">
        <v>649</v>
      </c>
      <c r="B14" s="1" t="s">
        <v>435</v>
      </c>
      <c r="C14" s="1" t="s">
        <v>226</v>
      </c>
      <c r="D14" s="3" t="s">
        <v>192</v>
      </c>
      <c r="E14" s="3" t="s">
        <v>192</v>
      </c>
      <c r="F14" s="3" t="s">
        <v>192</v>
      </c>
      <c r="G14" s="3" t="s">
        <v>192</v>
      </c>
      <c r="H14" s="3">
        <v>1</v>
      </c>
      <c r="I14" s="3" t="s">
        <v>192</v>
      </c>
      <c r="J14" s="3" t="s">
        <v>192</v>
      </c>
      <c r="K14" s="3">
        <v>1</v>
      </c>
      <c r="L14" s="3" t="s">
        <v>192</v>
      </c>
      <c r="M14" s="3" t="s">
        <v>192</v>
      </c>
      <c r="N14" s="3" t="s">
        <v>192</v>
      </c>
      <c r="O14" s="3" t="s">
        <v>192</v>
      </c>
      <c r="P14" s="3" t="s">
        <v>192</v>
      </c>
      <c r="Q14" s="3" t="s">
        <v>192</v>
      </c>
      <c r="R14" s="3" t="s">
        <v>192</v>
      </c>
      <c r="S14" s="3">
        <v>1</v>
      </c>
      <c r="T14" s="3" t="s">
        <v>192</v>
      </c>
      <c r="U14" s="3" t="s">
        <v>192</v>
      </c>
      <c r="V14" s="3" t="s">
        <v>192</v>
      </c>
      <c r="W14" s="3" t="s">
        <v>192</v>
      </c>
      <c r="X14" s="3" t="s">
        <v>192</v>
      </c>
      <c r="Y14" s="3" t="s">
        <v>192</v>
      </c>
      <c r="Z14" s="3" t="s">
        <v>192</v>
      </c>
      <c r="AA14" s="3" t="s">
        <v>192</v>
      </c>
      <c r="AB14" s="3" t="s">
        <v>192</v>
      </c>
      <c r="AC14" s="3" t="s">
        <v>192</v>
      </c>
      <c r="AD14" s="3" t="s">
        <v>192</v>
      </c>
      <c r="AE14" s="3" t="s">
        <v>192</v>
      </c>
      <c r="AF14" s="3" t="s">
        <v>192</v>
      </c>
      <c r="AG14" s="3" t="s">
        <v>192</v>
      </c>
      <c r="AH14" s="3" t="s">
        <v>192</v>
      </c>
      <c r="AI14" s="3" t="s">
        <v>192</v>
      </c>
      <c r="AJ14" s="3" t="s">
        <v>192</v>
      </c>
      <c r="AK14" s="3" t="s">
        <v>192</v>
      </c>
      <c r="AL14" s="3" t="s">
        <v>192</v>
      </c>
      <c r="AM14" s="3" t="s">
        <v>192</v>
      </c>
      <c r="AN14" s="3" t="s">
        <v>192</v>
      </c>
      <c r="AO14" s="3" t="s">
        <v>192</v>
      </c>
      <c r="AP14" s="3" t="s">
        <v>192</v>
      </c>
      <c r="AQ14" s="3">
        <v>1</v>
      </c>
      <c r="AR14" s="3" t="s">
        <v>192</v>
      </c>
      <c r="AS14" s="3" t="s">
        <v>192</v>
      </c>
      <c r="AT14" s="3" t="s">
        <v>192</v>
      </c>
      <c r="AU14" s="3" t="s">
        <v>192</v>
      </c>
      <c r="AV14" s="3" t="s">
        <v>192</v>
      </c>
      <c r="AW14" s="3" t="s">
        <v>192</v>
      </c>
      <c r="AX14" s="3" t="s">
        <v>192</v>
      </c>
      <c r="AY14" s="3" t="s">
        <v>192</v>
      </c>
      <c r="AZ14" s="3" t="s">
        <v>192</v>
      </c>
      <c r="BA14" s="3" t="s">
        <v>192</v>
      </c>
      <c r="BB14" s="3" t="s">
        <v>192</v>
      </c>
      <c r="BC14" s="3" t="s">
        <v>192</v>
      </c>
      <c r="BD14" s="3" t="s">
        <v>192</v>
      </c>
      <c r="BE14" s="3" t="s">
        <v>192</v>
      </c>
      <c r="BF14" s="3" t="s">
        <v>192</v>
      </c>
      <c r="BG14" s="3" t="s">
        <v>192</v>
      </c>
      <c r="BH14" s="3">
        <v>1</v>
      </c>
      <c r="BI14" s="3" t="s">
        <v>192</v>
      </c>
      <c r="BJ14" s="3" t="s">
        <v>192</v>
      </c>
      <c r="BK14" s="3" t="s">
        <v>192</v>
      </c>
      <c r="BL14" s="3">
        <v>6</v>
      </c>
      <c r="BM14" s="3" t="s">
        <v>192</v>
      </c>
      <c r="BN14" s="3" t="s">
        <v>192</v>
      </c>
      <c r="BO14" s="3" t="s">
        <v>192</v>
      </c>
      <c r="BP14" s="3" t="s">
        <v>192</v>
      </c>
      <c r="BQ14" s="3" t="s">
        <v>192</v>
      </c>
      <c r="BR14" s="3" t="s">
        <v>192</v>
      </c>
      <c r="BS14" s="3">
        <v>3</v>
      </c>
      <c r="BT14" s="3" t="s">
        <v>192</v>
      </c>
      <c r="BU14" s="3" t="s">
        <v>192</v>
      </c>
      <c r="BV14" s="3" t="s">
        <v>192</v>
      </c>
      <c r="BW14" s="3" t="s">
        <v>192</v>
      </c>
      <c r="BX14" s="3" t="s">
        <v>192</v>
      </c>
      <c r="BY14" s="3" t="s">
        <v>192</v>
      </c>
      <c r="BZ14" s="3" t="s">
        <v>192</v>
      </c>
      <c r="CA14" s="3" t="s">
        <v>192</v>
      </c>
      <c r="CB14" s="3" t="s">
        <v>192</v>
      </c>
      <c r="CC14" s="3" t="s">
        <v>192</v>
      </c>
      <c r="CD14" s="3" t="s">
        <v>192</v>
      </c>
      <c r="CE14" s="3" t="s">
        <v>192</v>
      </c>
      <c r="CF14" s="3" t="s">
        <v>192</v>
      </c>
      <c r="CG14" s="3">
        <v>3</v>
      </c>
      <c r="CH14" s="3" t="s">
        <v>192</v>
      </c>
      <c r="CI14" s="3" t="s">
        <v>192</v>
      </c>
      <c r="CJ14" s="3" t="s">
        <v>192</v>
      </c>
      <c r="CK14" s="3" t="s">
        <v>192</v>
      </c>
      <c r="CL14" s="3" t="s">
        <v>192</v>
      </c>
      <c r="CM14" s="3" t="s">
        <v>192</v>
      </c>
      <c r="CN14" s="3" t="s">
        <v>192</v>
      </c>
      <c r="CO14" s="3" t="s">
        <v>192</v>
      </c>
      <c r="CP14" s="3" t="s">
        <v>192</v>
      </c>
      <c r="CQ14" s="3" t="s">
        <v>192</v>
      </c>
      <c r="CR14" s="3" t="s">
        <v>192</v>
      </c>
      <c r="CS14" s="3" t="s">
        <v>192</v>
      </c>
      <c r="CT14" s="1">
        <f>SUM(Table7[[#This Row],[Acyl_amino_acids]:[T3PKS]])</f>
        <v>17</v>
      </c>
      <c r="CU14" s="3" t="s">
        <v>192</v>
      </c>
      <c r="CW14" s="1">
        <f>Table7[[#This Row],[NRPS]]</f>
        <v>6</v>
      </c>
      <c r="CX14" s="1">
        <f>SUM(CP14,CR14,CS14,Table7[[#This Row],[T1PKS, T3PKS]])</f>
        <v>0</v>
      </c>
      <c r="CY14" s="1">
        <f t="shared" si="0"/>
        <v>3</v>
      </c>
      <c r="CZ14" s="1">
        <f>Table7[[#This Row],[Terpene]]</f>
        <v>3</v>
      </c>
      <c r="DA14" s="1">
        <f>SUM(Table7[[#This Row],[Thiopeptide]],BH14,BF14,BE14,BC14,AZ14,AX14,AW14,AJ14,AH14,N14,L14,J14,H14,I14,K14,R14,Q14,Table7[[#This Row],[Cyanobactin, LAP]])</f>
        <v>3</v>
      </c>
      <c r="DB14" s="1">
        <f>SUM(CO14,CN14,CL14,CK14,CJ14,CI14,CH14,CF14,CE14,CD14,CB14,CA14,BZ14,BY14,BX14,BW14,BV14,BT14,BR14,BQ14,BP14,BO14,BM14,BK14,BJ14,BI14,BG14,BD14,BB14,BA14,AY14,AV14,AU14,AT14,AS14,AR14,AQ14,AP14,AO14,AN14,AM14,AL14,AK14,AG14,AF14,AE14,AD14,AC14,AB14,AA14,Z14,Y14,X14,W14,V14,U14,T14,S14,P14,O14,M14,Table7[[#This Row],[Acyl_amino_acids]],E14,F14,G14,)</f>
        <v>2</v>
      </c>
    </row>
    <row r="15" spans="1:106" x14ac:dyDescent="0.25">
      <c r="A15" s="9" t="s">
        <v>770</v>
      </c>
      <c r="B15" s="1" t="s">
        <v>435</v>
      </c>
      <c r="C15" s="1" t="s">
        <v>228</v>
      </c>
      <c r="D15" s="3" t="s">
        <v>192</v>
      </c>
      <c r="E15" s="3" t="s">
        <v>192</v>
      </c>
      <c r="F15" s="3" t="s">
        <v>192</v>
      </c>
      <c r="G15" s="3" t="s">
        <v>192</v>
      </c>
      <c r="H15" s="3">
        <v>2</v>
      </c>
      <c r="I15" s="3" t="s">
        <v>192</v>
      </c>
      <c r="J15" s="3" t="s">
        <v>192</v>
      </c>
      <c r="K15" s="3" t="s">
        <v>192</v>
      </c>
      <c r="L15" s="3" t="s">
        <v>192</v>
      </c>
      <c r="M15" s="3" t="s">
        <v>192</v>
      </c>
      <c r="N15" s="3" t="s">
        <v>192</v>
      </c>
      <c r="O15" s="3" t="s">
        <v>192</v>
      </c>
      <c r="P15" s="3" t="s">
        <v>192</v>
      </c>
      <c r="Q15" s="3" t="s">
        <v>192</v>
      </c>
      <c r="R15" s="3" t="s">
        <v>192</v>
      </c>
      <c r="S15" s="3" t="s">
        <v>192</v>
      </c>
      <c r="T15" s="3" t="s">
        <v>192</v>
      </c>
      <c r="U15" s="3" t="s">
        <v>192</v>
      </c>
      <c r="V15" s="3" t="s">
        <v>192</v>
      </c>
      <c r="W15" s="3" t="s">
        <v>192</v>
      </c>
      <c r="X15" s="3" t="s">
        <v>192</v>
      </c>
      <c r="Y15" s="3" t="s">
        <v>192</v>
      </c>
      <c r="Z15" s="3" t="s">
        <v>192</v>
      </c>
      <c r="AA15" s="3" t="s">
        <v>192</v>
      </c>
      <c r="AB15" s="3" t="s">
        <v>192</v>
      </c>
      <c r="AC15" s="3" t="s">
        <v>192</v>
      </c>
      <c r="AD15" s="3" t="s">
        <v>192</v>
      </c>
      <c r="AE15" s="3" t="s">
        <v>192</v>
      </c>
      <c r="AF15" s="3" t="s">
        <v>192</v>
      </c>
      <c r="AG15" s="3" t="s">
        <v>192</v>
      </c>
      <c r="AH15" s="3" t="s">
        <v>192</v>
      </c>
      <c r="AI15" s="3" t="s">
        <v>192</v>
      </c>
      <c r="AJ15" s="3" t="s">
        <v>192</v>
      </c>
      <c r="AK15" s="3" t="s">
        <v>192</v>
      </c>
      <c r="AL15" s="3" t="s">
        <v>192</v>
      </c>
      <c r="AM15" s="3" t="s">
        <v>192</v>
      </c>
      <c r="AN15" s="3" t="s">
        <v>192</v>
      </c>
      <c r="AO15" s="3" t="s">
        <v>192</v>
      </c>
      <c r="AP15" s="3" t="s">
        <v>192</v>
      </c>
      <c r="AQ15" s="3">
        <v>1</v>
      </c>
      <c r="AR15" s="3" t="s">
        <v>192</v>
      </c>
      <c r="AS15" s="3" t="s">
        <v>192</v>
      </c>
      <c r="AT15" s="3">
        <v>3</v>
      </c>
      <c r="AU15" s="3" t="s">
        <v>192</v>
      </c>
      <c r="AV15" s="3" t="s">
        <v>192</v>
      </c>
      <c r="AW15" s="3" t="s">
        <v>192</v>
      </c>
      <c r="AX15" s="3" t="s">
        <v>192</v>
      </c>
      <c r="AY15" s="3" t="s">
        <v>192</v>
      </c>
      <c r="AZ15" s="3" t="s">
        <v>192</v>
      </c>
      <c r="BA15" s="3" t="s">
        <v>192</v>
      </c>
      <c r="BB15" s="3" t="s">
        <v>192</v>
      </c>
      <c r="BC15" s="3" t="s">
        <v>192</v>
      </c>
      <c r="BD15" s="3" t="s">
        <v>192</v>
      </c>
      <c r="BE15" s="3" t="s">
        <v>192</v>
      </c>
      <c r="BF15" s="3">
        <v>1</v>
      </c>
      <c r="BG15" s="3" t="s">
        <v>192</v>
      </c>
      <c r="BH15" s="3">
        <v>1</v>
      </c>
      <c r="BI15" s="3" t="s">
        <v>192</v>
      </c>
      <c r="BJ15" s="3" t="s">
        <v>192</v>
      </c>
      <c r="BK15" s="3" t="s">
        <v>192</v>
      </c>
      <c r="BL15" s="3">
        <v>1</v>
      </c>
      <c r="BM15" s="3" t="s">
        <v>192</v>
      </c>
      <c r="BN15" s="3" t="s">
        <v>192</v>
      </c>
      <c r="BO15" s="3" t="s">
        <v>192</v>
      </c>
      <c r="BP15" s="3" t="s">
        <v>192</v>
      </c>
      <c r="BQ15" s="3" t="s">
        <v>192</v>
      </c>
      <c r="BR15" s="3" t="s">
        <v>192</v>
      </c>
      <c r="BS15" s="3">
        <v>3</v>
      </c>
      <c r="BT15" s="3" t="s">
        <v>192</v>
      </c>
      <c r="BU15" s="3" t="s">
        <v>192</v>
      </c>
      <c r="BV15" s="3" t="s">
        <v>192</v>
      </c>
      <c r="BW15" s="3" t="s">
        <v>192</v>
      </c>
      <c r="BX15" s="3" t="s">
        <v>192</v>
      </c>
      <c r="BY15" s="3" t="s">
        <v>192</v>
      </c>
      <c r="BZ15" s="3" t="s">
        <v>192</v>
      </c>
      <c r="CA15" s="3" t="s">
        <v>192</v>
      </c>
      <c r="CB15" s="3" t="s">
        <v>192</v>
      </c>
      <c r="CC15" s="3" t="s">
        <v>192</v>
      </c>
      <c r="CD15" s="3" t="s">
        <v>192</v>
      </c>
      <c r="CE15" s="3" t="s">
        <v>192</v>
      </c>
      <c r="CF15" s="3" t="s">
        <v>192</v>
      </c>
      <c r="CG15" s="3">
        <v>1</v>
      </c>
      <c r="CH15" s="3" t="s">
        <v>192</v>
      </c>
      <c r="CI15" s="3" t="s">
        <v>192</v>
      </c>
      <c r="CJ15" s="3" t="s">
        <v>192</v>
      </c>
      <c r="CK15" s="3" t="s">
        <v>192</v>
      </c>
      <c r="CL15" s="3" t="s">
        <v>192</v>
      </c>
      <c r="CM15" s="3" t="s">
        <v>192</v>
      </c>
      <c r="CN15" s="3" t="s">
        <v>192</v>
      </c>
      <c r="CO15" s="3" t="s">
        <v>192</v>
      </c>
      <c r="CP15" s="3" t="s">
        <v>192</v>
      </c>
      <c r="CQ15" s="3" t="s">
        <v>192</v>
      </c>
      <c r="CR15" s="3" t="s">
        <v>192</v>
      </c>
      <c r="CS15" s="3" t="s">
        <v>192</v>
      </c>
      <c r="CT15" s="1">
        <f>SUM(Table7[[#This Row],[Acyl_amino_acids]:[T3PKS]])</f>
        <v>13</v>
      </c>
      <c r="CU15" s="3" t="s">
        <v>192</v>
      </c>
      <c r="CW15" s="1">
        <f>Table7[[#This Row],[NRPS]]</f>
        <v>1</v>
      </c>
      <c r="CX15" s="1">
        <f>SUM(CP15,CR15,CS15,Table7[[#This Row],[T1PKS, T3PKS]])</f>
        <v>0</v>
      </c>
      <c r="CY15" s="1">
        <f t="shared" si="0"/>
        <v>3</v>
      </c>
      <c r="CZ15" s="1">
        <f>Table7[[#This Row],[Terpene]]</f>
        <v>1</v>
      </c>
      <c r="DA15" s="1">
        <f>SUM(Table7[[#This Row],[Thiopeptide]],BH15,BF15,BE15,BC15,AZ15,AX15,AW15,AJ15,AH15,N15,L15,J15,H15,I15,K15,R15,Q15,Table7[[#This Row],[Cyanobactin, LAP]])</f>
        <v>4</v>
      </c>
      <c r="DB15" s="1">
        <f>SUM(CO15,CN15,CL15,CK15,CJ15,CI15,CH15,CF15,CE15,CD15,CB15,CA15,BZ15,BY15,BX15,BW15,BV15,BT15,BR15,BQ15,BP15,BO15,BM15,BK15,BJ15,BI15,BG15,BD15,BB15,BA15,AY15,AV15,AU15,AT15,AS15,AR15,AQ15,AP15,AO15,AN15,AM15,AL15,AK15,AG15,AF15,AE15,AD15,AC15,AB15,AA15,Z15,Y15,X15,W15,V15,U15,T15,S15,P15,O15,M15,Table7[[#This Row],[Acyl_amino_acids]],E15,F15,G15,)</f>
        <v>4</v>
      </c>
    </row>
    <row r="16" spans="1:106" x14ac:dyDescent="0.25">
      <c r="A16" s="9" t="s">
        <v>744</v>
      </c>
      <c r="B16" s="1" t="s">
        <v>435</v>
      </c>
      <c r="C16" s="1" t="s">
        <v>230</v>
      </c>
      <c r="D16" s="1" t="s">
        <v>192</v>
      </c>
      <c r="E16" s="3" t="s">
        <v>192</v>
      </c>
      <c r="F16" s="3" t="s">
        <v>192</v>
      </c>
      <c r="G16" s="3" t="s">
        <v>192</v>
      </c>
      <c r="H16" s="3">
        <v>2</v>
      </c>
      <c r="I16" s="3" t="s">
        <v>192</v>
      </c>
      <c r="J16" s="3" t="s">
        <v>192</v>
      </c>
      <c r="K16" s="3" t="s">
        <v>192</v>
      </c>
      <c r="L16" s="3" t="s">
        <v>192</v>
      </c>
      <c r="M16" s="3" t="s">
        <v>192</v>
      </c>
      <c r="N16" s="3" t="s">
        <v>192</v>
      </c>
      <c r="O16" s="3" t="s">
        <v>192</v>
      </c>
      <c r="P16" s="3" t="s">
        <v>192</v>
      </c>
      <c r="Q16" s="3" t="s">
        <v>192</v>
      </c>
      <c r="R16" s="3" t="s">
        <v>192</v>
      </c>
      <c r="S16" s="3" t="s">
        <v>192</v>
      </c>
      <c r="T16" s="3" t="s">
        <v>192</v>
      </c>
      <c r="U16" s="3" t="s">
        <v>192</v>
      </c>
      <c r="V16" s="3" t="s">
        <v>192</v>
      </c>
      <c r="W16" s="3" t="s">
        <v>192</v>
      </c>
      <c r="X16" s="3" t="s">
        <v>192</v>
      </c>
      <c r="Y16" s="3" t="s">
        <v>192</v>
      </c>
      <c r="Z16" s="3" t="s">
        <v>192</v>
      </c>
      <c r="AA16" s="3" t="s">
        <v>192</v>
      </c>
      <c r="AB16" s="3" t="s">
        <v>192</v>
      </c>
      <c r="AC16" s="3" t="s">
        <v>192</v>
      </c>
      <c r="AD16" s="3" t="s">
        <v>192</v>
      </c>
      <c r="AE16" s="3" t="s">
        <v>192</v>
      </c>
      <c r="AF16" s="3" t="s">
        <v>192</v>
      </c>
      <c r="AG16" s="3" t="s">
        <v>192</v>
      </c>
      <c r="AH16" s="3" t="s">
        <v>192</v>
      </c>
      <c r="AI16" s="3" t="s">
        <v>192</v>
      </c>
      <c r="AJ16" s="3" t="s">
        <v>192</v>
      </c>
      <c r="AK16" s="3" t="s">
        <v>192</v>
      </c>
      <c r="AL16" s="3" t="s">
        <v>192</v>
      </c>
      <c r="AM16" s="3" t="s">
        <v>192</v>
      </c>
      <c r="AN16" s="3" t="s">
        <v>192</v>
      </c>
      <c r="AO16" s="3" t="s">
        <v>192</v>
      </c>
      <c r="AP16" s="3" t="s">
        <v>192</v>
      </c>
      <c r="AQ16" s="3">
        <v>1</v>
      </c>
      <c r="AR16" s="3" t="s">
        <v>192</v>
      </c>
      <c r="AS16" s="3" t="s">
        <v>192</v>
      </c>
      <c r="AT16" s="3" t="s">
        <v>192</v>
      </c>
      <c r="AU16" s="3" t="s">
        <v>192</v>
      </c>
      <c r="AV16" s="3" t="s">
        <v>192</v>
      </c>
      <c r="AW16" s="3" t="s">
        <v>192</v>
      </c>
      <c r="AX16" s="3" t="s">
        <v>192</v>
      </c>
      <c r="AY16" s="3" t="s">
        <v>192</v>
      </c>
      <c r="AZ16" s="3" t="s">
        <v>192</v>
      </c>
      <c r="BA16" s="3" t="s">
        <v>192</v>
      </c>
      <c r="BB16" s="3" t="s">
        <v>192</v>
      </c>
      <c r="BC16" s="3" t="s">
        <v>192</v>
      </c>
      <c r="BD16" s="3" t="s">
        <v>192</v>
      </c>
      <c r="BE16" s="3" t="s">
        <v>192</v>
      </c>
      <c r="BF16" s="3">
        <v>1</v>
      </c>
      <c r="BG16" s="3" t="s">
        <v>192</v>
      </c>
      <c r="BH16" s="3" t="s">
        <v>192</v>
      </c>
      <c r="BI16" s="3" t="s">
        <v>192</v>
      </c>
      <c r="BJ16" s="3" t="s">
        <v>192</v>
      </c>
      <c r="BK16" s="3" t="s">
        <v>192</v>
      </c>
      <c r="BL16" s="3">
        <v>1</v>
      </c>
      <c r="BM16" s="3" t="s">
        <v>192</v>
      </c>
      <c r="BN16" s="3" t="s">
        <v>192</v>
      </c>
      <c r="BO16" s="3" t="s">
        <v>192</v>
      </c>
      <c r="BP16" s="3" t="s">
        <v>192</v>
      </c>
      <c r="BQ16" s="3" t="s">
        <v>192</v>
      </c>
      <c r="BR16" s="3" t="s">
        <v>192</v>
      </c>
      <c r="BS16" s="3">
        <v>1</v>
      </c>
      <c r="BT16" s="3" t="s">
        <v>192</v>
      </c>
      <c r="BU16" s="3" t="s">
        <v>192</v>
      </c>
      <c r="BV16" s="3" t="s">
        <v>192</v>
      </c>
      <c r="BW16" s="3" t="s">
        <v>192</v>
      </c>
      <c r="BX16" s="3" t="s">
        <v>192</v>
      </c>
      <c r="BY16" s="3" t="s">
        <v>192</v>
      </c>
      <c r="BZ16" s="3" t="s">
        <v>192</v>
      </c>
      <c r="CA16" s="3" t="s">
        <v>192</v>
      </c>
      <c r="CB16" s="3" t="s">
        <v>192</v>
      </c>
      <c r="CC16" s="3" t="s">
        <v>192</v>
      </c>
      <c r="CD16" s="3" t="s">
        <v>192</v>
      </c>
      <c r="CE16" s="3" t="s">
        <v>192</v>
      </c>
      <c r="CF16" s="3" t="s">
        <v>192</v>
      </c>
      <c r="CG16" s="3">
        <v>2</v>
      </c>
      <c r="CH16" s="3" t="s">
        <v>192</v>
      </c>
      <c r="CI16" s="3" t="s">
        <v>192</v>
      </c>
      <c r="CJ16" s="3" t="s">
        <v>192</v>
      </c>
      <c r="CK16" s="3" t="s">
        <v>192</v>
      </c>
      <c r="CL16" s="3" t="s">
        <v>192</v>
      </c>
      <c r="CM16" s="3" t="s">
        <v>192</v>
      </c>
      <c r="CN16" s="3" t="s">
        <v>192</v>
      </c>
      <c r="CO16" s="3" t="s">
        <v>192</v>
      </c>
      <c r="CP16" s="3" t="s">
        <v>192</v>
      </c>
      <c r="CQ16" s="3" t="s">
        <v>192</v>
      </c>
      <c r="CR16" s="3" t="s">
        <v>192</v>
      </c>
      <c r="CS16" s="3" t="s">
        <v>192</v>
      </c>
      <c r="CT16" s="1">
        <f>SUM(Table7[[#This Row],[Acyl_amino_acids]:[T3PKS]])</f>
        <v>8</v>
      </c>
      <c r="CU16" s="3" t="s">
        <v>196</v>
      </c>
      <c r="CW16" s="1">
        <f>Table7[[#This Row],[NRPS]]</f>
        <v>1</v>
      </c>
      <c r="CX16" s="1">
        <f>SUM(CP16,CR16,CS16,Table7[[#This Row],[T1PKS, T3PKS]])</f>
        <v>0</v>
      </c>
      <c r="CY16" s="1">
        <f t="shared" si="0"/>
        <v>1</v>
      </c>
      <c r="CZ16" s="1">
        <f>Table7[[#This Row],[Terpene]]</f>
        <v>2</v>
      </c>
      <c r="DA16" s="1">
        <f>SUM(Table7[[#This Row],[Thiopeptide]],BH16,BF16,BE16,BC16,AZ16,AX16,AW16,AJ16,AH16,N16,L16,J16,H16,I16,K16,R16,Q16,Table7[[#This Row],[Cyanobactin, LAP]])</f>
        <v>3</v>
      </c>
      <c r="DB16" s="1">
        <f>SUM(CO16,CN16,CL16,CK16,CJ16,CI16,CH16,CF16,CE16,CD16,CB16,CA16,BZ16,BY16,BX16,BW16,BV16,BT16,BR16,BQ16,BP16,BO16,BM16,BK16,BJ16,BI16,BG16,BD16,BB16,BA16,AY16,AV16,AU16,AT16,AS16,AR16,AQ16,AP16,AO16,AN16,AM16,AL16,AK16,AG16,AF16,AE16,AD16,AC16,AB16,AA16,Z16,Y16,X16,W16,V16,U16,T16,S16,P16,O16,M16,Table7[[#This Row],[Acyl_amino_acids]],E16,F16,G16,)</f>
        <v>1</v>
      </c>
    </row>
    <row r="17" spans="1:106" x14ac:dyDescent="0.25">
      <c r="A17" s="9" t="s">
        <v>778</v>
      </c>
      <c r="B17" s="1" t="s">
        <v>435</v>
      </c>
      <c r="C17" s="1" t="s">
        <v>573</v>
      </c>
      <c r="D17" s="3" t="s">
        <v>192</v>
      </c>
      <c r="E17" s="3" t="s">
        <v>192</v>
      </c>
      <c r="F17" s="3" t="s">
        <v>192</v>
      </c>
      <c r="G17" s="3" t="s">
        <v>192</v>
      </c>
      <c r="H17" s="3">
        <v>4</v>
      </c>
      <c r="I17" s="3" t="s">
        <v>192</v>
      </c>
      <c r="J17" s="3" t="s">
        <v>192</v>
      </c>
      <c r="K17" s="3" t="s">
        <v>192</v>
      </c>
      <c r="L17" s="3">
        <v>1</v>
      </c>
      <c r="M17" s="3" t="s">
        <v>192</v>
      </c>
      <c r="N17" s="3" t="s">
        <v>192</v>
      </c>
      <c r="O17" s="3" t="s">
        <v>192</v>
      </c>
      <c r="P17" s="3" t="s">
        <v>192</v>
      </c>
      <c r="Q17" s="3" t="s">
        <v>192</v>
      </c>
      <c r="R17" s="3" t="s">
        <v>192</v>
      </c>
      <c r="S17" s="3" t="s">
        <v>192</v>
      </c>
      <c r="T17" s="3" t="s">
        <v>192</v>
      </c>
      <c r="U17" s="3" t="s">
        <v>192</v>
      </c>
      <c r="V17" s="3" t="s">
        <v>192</v>
      </c>
      <c r="W17" s="3" t="s">
        <v>192</v>
      </c>
      <c r="X17" s="3" t="s">
        <v>192</v>
      </c>
      <c r="Y17" s="3" t="s">
        <v>192</v>
      </c>
      <c r="Z17" s="3" t="s">
        <v>192</v>
      </c>
      <c r="AA17" s="3" t="s">
        <v>192</v>
      </c>
      <c r="AB17" s="3" t="s">
        <v>192</v>
      </c>
      <c r="AC17" s="3" t="s">
        <v>192</v>
      </c>
      <c r="AD17" s="3" t="s">
        <v>192</v>
      </c>
      <c r="AE17" s="3" t="s">
        <v>192</v>
      </c>
      <c r="AF17" s="3" t="s">
        <v>192</v>
      </c>
      <c r="AG17" s="3" t="s">
        <v>192</v>
      </c>
      <c r="AH17" s="3" t="s">
        <v>192</v>
      </c>
      <c r="AI17" s="3" t="s">
        <v>192</v>
      </c>
      <c r="AJ17" s="3" t="s">
        <v>192</v>
      </c>
      <c r="AK17" s="3" t="s">
        <v>192</v>
      </c>
      <c r="AL17" s="3">
        <v>1</v>
      </c>
      <c r="AM17" s="3" t="s">
        <v>192</v>
      </c>
      <c r="AN17" s="3" t="s">
        <v>192</v>
      </c>
      <c r="AO17" s="3" t="s">
        <v>192</v>
      </c>
      <c r="AP17" s="3" t="s">
        <v>192</v>
      </c>
      <c r="AQ17" s="3" t="s">
        <v>192</v>
      </c>
      <c r="AR17" s="3" t="s">
        <v>192</v>
      </c>
      <c r="AS17" s="3" t="s">
        <v>192</v>
      </c>
      <c r="AT17" s="3" t="s">
        <v>192</v>
      </c>
      <c r="AU17" s="3" t="s">
        <v>192</v>
      </c>
      <c r="AV17" s="3" t="s">
        <v>192</v>
      </c>
      <c r="AW17" s="3" t="s">
        <v>192</v>
      </c>
      <c r="AX17" s="3" t="s">
        <v>192</v>
      </c>
      <c r="AY17" s="3" t="s">
        <v>192</v>
      </c>
      <c r="AZ17" s="3" t="s">
        <v>192</v>
      </c>
      <c r="BA17" s="3" t="s">
        <v>192</v>
      </c>
      <c r="BB17" s="3" t="s">
        <v>192</v>
      </c>
      <c r="BC17" s="3" t="s">
        <v>192</v>
      </c>
      <c r="BD17" s="3" t="s">
        <v>192</v>
      </c>
      <c r="BE17" s="3" t="s">
        <v>192</v>
      </c>
      <c r="BF17" s="3" t="s">
        <v>192</v>
      </c>
      <c r="BG17" s="3" t="s">
        <v>192</v>
      </c>
      <c r="BH17" s="3" t="s">
        <v>192</v>
      </c>
      <c r="BI17" s="3" t="s">
        <v>192</v>
      </c>
      <c r="BJ17" s="3" t="s">
        <v>192</v>
      </c>
      <c r="BK17" s="3" t="s">
        <v>192</v>
      </c>
      <c r="BL17" s="3">
        <v>11</v>
      </c>
      <c r="BM17" s="3" t="s">
        <v>192</v>
      </c>
      <c r="BN17" s="3" t="s">
        <v>192</v>
      </c>
      <c r="BO17" s="3" t="s">
        <v>192</v>
      </c>
      <c r="BP17" s="3" t="s">
        <v>192</v>
      </c>
      <c r="BQ17" s="3" t="s">
        <v>192</v>
      </c>
      <c r="BR17" s="3" t="s">
        <v>192</v>
      </c>
      <c r="BS17" s="3">
        <v>1</v>
      </c>
      <c r="BT17" s="3" t="s">
        <v>192</v>
      </c>
      <c r="BU17" s="3" t="s">
        <v>192</v>
      </c>
      <c r="BV17" s="3" t="s">
        <v>192</v>
      </c>
      <c r="BW17" s="3" t="s">
        <v>192</v>
      </c>
      <c r="BX17" s="3" t="s">
        <v>192</v>
      </c>
      <c r="BY17" s="3" t="s">
        <v>192</v>
      </c>
      <c r="BZ17" s="3" t="s">
        <v>192</v>
      </c>
      <c r="CA17" s="3" t="s">
        <v>192</v>
      </c>
      <c r="CB17" s="3" t="s">
        <v>192</v>
      </c>
      <c r="CC17" s="3" t="s">
        <v>192</v>
      </c>
      <c r="CD17" s="3" t="s">
        <v>192</v>
      </c>
      <c r="CE17" s="3" t="s">
        <v>192</v>
      </c>
      <c r="CF17" s="3" t="s">
        <v>192</v>
      </c>
      <c r="CG17" s="3">
        <v>3</v>
      </c>
      <c r="CH17" s="3" t="s">
        <v>192</v>
      </c>
      <c r="CI17" s="3" t="s">
        <v>192</v>
      </c>
      <c r="CJ17" s="3" t="s">
        <v>192</v>
      </c>
      <c r="CK17" s="3" t="s">
        <v>192</v>
      </c>
      <c r="CL17" s="3" t="s">
        <v>192</v>
      </c>
      <c r="CM17" s="3" t="s">
        <v>192</v>
      </c>
      <c r="CN17" s="3" t="s">
        <v>192</v>
      </c>
      <c r="CO17" s="3" t="s">
        <v>192</v>
      </c>
      <c r="CP17" s="3" t="s">
        <v>192</v>
      </c>
      <c r="CQ17" s="3" t="s">
        <v>192</v>
      </c>
      <c r="CR17" s="3" t="s">
        <v>192</v>
      </c>
      <c r="CS17" s="3" t="s">
        <v>192</v>
      </c>
      <c r="CT17" s="1">
        <f>SUM(Table7[[#This Row],[Acyl_amino_acids]:[T3PKS]])</f>
        <v>21</v>
      </c>
      <c r="CU17" s="3" t="s">
        <v>192</v>
      </c>
      <c r="CW17" s="1">
        <f>Table7[[#This Row],[NRPS]]</f>
        <v>11</v>
      </c>
      <c r="CX17" s="1">
        <f>SUM(CP17,CR17,CS17,Table7[[#This Row],[T1PKS, T3PKS]])</f>
        <v>0</v>
      </c>
      <c r="CY17" s="1">
        <f t="shared" si="0"/>
        <v>1</v>
      </c>
      <c r="CZ17" s="1">
        <f>Table7[[#This Row],[Terpene]]</f>
        <v>3</v>
      </c>
      <c r="DA17" s="1">
        <f>SUM(Table7[[#This Row],[Thiopeptide]],BH17,BF17,BE17,BC17,AZ17,AX17,AW17,AJ17,AH17,N17,L17,J17,H17,I17,K17,R17,Q17,Table7[[#This Row],[Cyanobactin, LAP]])</f>
        <v>5</v>
      </c>
      <c r="DB17" s="1">
        <f>SUM(CO17,CN17,CL17,CK17,CJ17,CI17,CH17,CF17,CE17,CD17,CB17,CA17,BZ17,BY17,BX17,BW17,BV17,BT17,BR17,BQ17,BP17,BO17,BM17,BK17,BJ17,BI17,BG17,BD17,BB17,BA17,AY17,AV17,AU17,AT17,AS17,AR17,AQ17,AP17,AO17,AN17,AM17,AL17,AK17,AG17,AF17,AE17,AD17,AC17,AB17,AA17,Z17,Y17,X17,W17,V17,U17,T17,S17,P17,O17,M17,Table7[[#This Row],[Acyl_amino_acids]],E17,F17,G17,)</f>
        <v>1</v>
      </c>
    </row>
    <row r="18" spans="1:106" x14ac:dyDescent="0.25">
      <c r="A18" s="9" t="s">
        <v>781</v>
      </c>
      <c r="B18" s="1" t="s">
        <v>435</v>
      </c>
      <c r="C18" s="1" t="s">
        <v>579</v>
      </c>
      <c r="D18" s="3" t="s">
        <v>192</v>
      </c>
      <c r="E18" s="3" t="s">
        <v>192</v>
      </c>
      <c r="F18" s="3" t="s">
        <v>192</v>
      </c>
      <c r="G18" s="3" t="s">
        <v>192</v>
      </c>
      <c r="H18" s="3">
        <v>4</v>
      </c>
      <c r="I18" s="3" t="s">
        <v>192</v>
      </c>
      <c r="J18" s="3" t="s">
        <v>192</v>
      </c>
      <c r="K18" s="3" t="s">
        <v>192</v>
      </c>
      <c r="L18" s="3" t="s">
        <v>192</v>
      </c>
      <c r="M18" s="3" t="s">
        <v>192</v>
      </c>
      <c r="N18" s="3" t="s">
        <v>192</v>
      </c>
      <c r="O18" s="3" t="s">
        <v>192</v>
      </c>
      <c r="P18" s="3" t="s">
        <v>192</v>
      </c>
      <c r="Q18" s="3" t="s">
        <v>192</v>
      </c>
      <c r="R18" s="3" t="s">
        <v>192</v>
      </c>
      <c r="S18" s="3" t="s">
        <v>192</v>
      </c>
      <c r="T18" s="3" t="s">
        <v>192</v>
      </c>
      <c r="U18" s="3" t="s">
        <v>192</v>
      </c>
      <c r="V18" s="3" t="s">
        <v>192</v>
      </c>
      <c r="W18" s="3" t="s">
        <v>192</v>
      </c>
      <c r="X18" s="3" t="s">
        <v>192</v>
      </c>
      <c r="Y18" s="3" t="s">
        <v>192</v>
      </c>
      <c r="Z18" s="3" t="s">
        <v>192</v>
      </c>
      <c r="AA18" s="3" t="s">
        <v>192</v>
      </c>
      <c r="AB18" s="3" t="s">
        <v>192</v>
      </c>
      <c r="AC18" s="3" t="s">
        <v>192</v>
      </c>
      <c r="AD18" s="3" t="s">
        <v>192</v>
      </c>
      <c r="AE18" s="3" t="s">
        <v>192</v>
      </c>
      <c r="AF18" s="3" t="s">
        <v>192</v>
      </c>
      <c r="AG18" s="3" t="s">
        <v>192</v>
      </c>
      <c r="AH18" s="3">
        <v>1</v>
      </c>
      <c r="AI18" s="3" t="s">
        <v>192</v>
      </c>
      <c r="AJ18" s="3" t="s">
        <v>192</v>
      </c>
      <c r="AK18" s="3" t="s">
        <v>192</v>
      </c>
      <c r="AL18" s="3" t="s">
        <v>192</v>
      </c>
      <c r="AM18" s="3" t="s">
        <v>192</v>
      </c>
      <c r="AN18" s="3" t="s">
        <v>192</v>
      </c>
      <c r="AO18" s="3" t="s">
        <v>192</v>
      </c>
      <c r="AP18" s="3" t="s">
        <v>192</v>
      </c>
      <c r="AQ18" s="3">
        <v>1</v>
      </c>
      <c r="AR18" s="3" t="s">
        <v>192</v>
      </c>
      <c r="AS18" s="3" t="s">
        <v>192</v>
      </c>
      <c r="AT18" s="3" t="s">
        <v>192</v>
      </c>
      <c r="AU18" s="3" t="s">
        <v>192</v>
      </c>
      <c r="AV18" s="3" t="s">
        <v>192</v>
      </c>
      <c r="AW18" s="3">
        <v>1</v>
      </c>
      <c r="AX18" s="3" t="s">
        <v>192</v>
      </c>
      <c r="AY18" s="3" t="s">
        <v>192</v>
      </c>
      <c r="AZ18" s="3" t="s">
        <v>192</v>
      </c>
      <c r="BA18" s="3" t="s">
        <v>192</v>
      </c>
      <c r="BB18" s="3" t="s">
        <v>192</v>
      </c>
      <c r="BC18" s="3" t="s">
        <v>192</v>
      </c>
      <c r="BD18" s="3" t="s">
        <v>192</v>
      </c>
      <c r="BE18" s="3" t="s">
        <v>192</v>
      </c>
      <c r="BF18" s="3" t="s">
        <v>192</v>
      </c>
      <c r="BG18" s="3" t="s">
        <v>192</v>
      </c>
      <c r="BH18" s="3">
        <v>2</v>
      </c>
      <c r="BI18" s="3" t="s">
        <v>192</v>
      </c>
      <c r="BJ18" s="3">
        <v>1</v>
      </c>
      <c r="BK18" s="3" t="s">
        <v>192</v>
      </c>
      <c r="BL18" s="3">
        <v>5</v>
      </c>
      <c r="BM18" s="3" t="s">
        <v>192</v>
      </c>
      <c r="BN18" s="3" t="s">
        <v>192</v>
      </c>
      <c r="BO18" s="3" t="s">
        <v>192</v>
      </c>
      <c r="BP18" s="3" t="s">
        <v>192</v>
      </c>
      <c r="BQ18" s="3" t="s">
        <v>192</v>
      </c>
      <c r="BR18" s="3">
        <v>1</v>
      </c>
      <c r="BS18" s="3">
        <v>1</v>
      </c>
      <c r="BT18" s="3" t="s">
        <v>192</v>
      </c>
      <c r="BU18" s="3" t="s">
        <v>192</v>
      </c>
      <c r="BV18" s="3" t="s">
        <v>192</v>
      </c>
      <c r="BW18" s="3" t="s">
        <v>192</v>
      </c>
      <c r="BX18" s="3" t="s">
        <v>192</v>
      </c>
      <c r="BY18" s="3" t="s">
        <v>192</v>
      </c>
      <c r="BZ18" s="3" t="s">
        <v>192</v>
      </c>
      <c r="CA18" s="3" t="s">
        <v>192</v>
      </c>
      <c r="CB18" s="3" t="s">
        <v>192</v>
      </c>
      <c r="CC18" s="3" t="s">
        <v>192</v>
      </c>
      <c r="CD18" s="3" t="s">
        <v>192</v>
      </c>
      <c r="CE18" s="3" t="s">
        <v>192</v>
      </c>
      <c r="CF18" s="3" t="s">
        <v>192</v>
      </c>
      <c r="CG18" s="3">
        <v>5</v>
      </c>
      <c r="CH18" s="3" t="s">
        <v>192</v>
      </c>
      <c r="CI18" s="3" t="s">
        <v>192</v>
      </c>
      <c r="CJ18" s="3" t="s">
        <v>192</v>
      </c>
      <c r="CK18" s="3" t="s">
        <v>192</v>
      </c>
      <c r="CL18" s="3" t="s">
        <v>192</v>
      </c>
      <c r="CM18" s="3" t="s">
        <v>192</v>
      </c>
      <c r="CN18" s="3" t="s">
        <v>192</v>
      </c>
      <c r="CO18" s="3" t="s">
        <v>192</v>
      </c>
      <c r="CP18" s="3" t="s">
        <v>192</v>
      </c>
      <c r="CQ18" s="3" t="s">
        <v>192</v>
      </c>
      <c r="CR18" s="3" t="s">
        <v>192</v>
      </c>
      <c r="CS18" s="3" t="s">
        <v>192</v>
      </c>
      <c r="CT18" s="1">
        <f>SUM(Table7[[#This Row],[Acyl_amino_acids]:[T3PKS]])</f>
        <v>22</v>
      </c>
      <c r="CU18" s="2" t="s">
        <v>578</v>
      </c>
      <c r="CW18" s="1">
        <f>Table7[[#This Row],[NRPS]]</f>
        <v>5</v>
      </c>
      <c r="CX18" s="1">
        <f>SUM(CP18,CR18,CS18,Table7[[#This Row],[T1PKS, T3PKS]])</f>
        <v>0</v>
      </c>
      <c r="CY18" s="1">
        <f t="shared" si="0"/>
        <v>1</v>
      </c>
      <c r="CZ18" s="1">
        <f>Table7[[#This Row],[Terpene]]</f>
        <v>5</v>
      </c>
      <c r="DA18" s="1">
        <f>SUM(Table7[[#This Row],[Thiopeptide]],BH18,BF18,BE18,BC18,AZ18,AX18,AW18,AJ18,AH18,N18,L18,J18,H18,I18,K18,R18,Q18,Table7[[#This Row],[Cyanobactin, LAP]])</f>
        <v>8</v>
      </c>
      <c r="DB18" s="1">
        <f>SUM(CO18,CN18,CL18,CK18,CJ18,CI18,CH18,CF18,CE18,CD18,CB18,CA18,BZ18,BY18,BX18,BW18,BV18,BT18,BR18,BQ18,BP18,BO18,BM18,BK18,BJ18,BI18,BG18,BD18,BB18,BA18,AY18,AV18,AU18,AT18,AS18,AR18,AQ18,AP18,AO18,AN18,AM18,AL18,AK18,AG18,AF18,AE18,AD18,AC18,AB18,AA18,Z18,Y18,X18,W18,V18,U18,T18,S18,P18,O18,M18,Table7[[#This Row],[Acyl_amino_acids]],E18,F18,G18,)</f>
        <v>3</v>
      </c>
    </row>
    <row r="19" spans="1:106" x14ac:dyDescent="0.25">
      <c r="A19" s="9" t="s">
        <v>780</v>
      </c>
      <c r="B19" s="1" t="s">
        <v>435</v>
      </c>
      <c r="C19" s="1" t="s">
        <v>575</v>
      </c>
      <c r="D19" s="3" t="s">
        <v>192</v>
      </c>
      <c r="E19" s="3" t="s">
        <v>192</v>
      </c>
      <c r="F19" s="3" t="s">
        <v>192</v>
      </c>
      <c r="G19" s="3" t="s">
        <v>192</v>
      </c>
      <c r="H19" s="3">
        <v>1</v>
      </c>
      <c r="I19" s="3" t="s">
        <v>192</v>
      </c>
      <c r="J19" s="3" t="s">
        <v>192</v>
      </c>
      <c r="K19" s="3" t="s">
        <v>192</v>
      </c>
      <c r="L19" s="3">
        <v>1</v>
      </c>
      <c r="M19" s="3" t="s">
        <v>192</v>
      </c>
      <c r="N19" s="3" t="s">
        <v>192</v>
      </c>
      <c r="O19" s="3" t="s">
        <v>192</v>
      </c>
      <c r="P19" s="3" t="s">
        <v>192</v>
      </c>
      <c r="Q19" s="3" t="s">
        <v>192</v>
      </c>
      <c r="R19" s="3">
        <v>1</v>
      </c>
      <c r="S19" s="3" t="s">
        <v>192</v>
      </c>
      <c r="T19" s="3" t="s">
        <v>192</v>
      </c>
      <c r="U19" s="3" t="s">
        <v>192</v>
      </c>
      <c r="V19" s="3" t="s">
        <v>192</v>
      </c>
      <c r="W19" s="3" t="s">
        <v>192</v>
      </c>
      <c r="X19" s="3" t="s">
        <v>192</v>
      </c>
      <c r="Y19" s="3" t="s">
        <v>192</v>
      </c>
      <c r="Z19" s="3" t="s">
        <v>192</v>
      </c>
      <c r="AA19" s="3" t="s">
        <v>192</v>
      </c>
      <c r="AB19" s="3" t="s">
        <v>192</v>
      </c>
      <c r="AC19" s="3" t="s">
        <v>192</v>
      </c>
      <c r="AD19" s="3" t="s">
        <v>192</v>
      </c>
      <c r="AE19" s="3" t="s">
        <v>192</v>
      </c>
      <c r="AF19" s="3" t="s">
        <v>192</v>
      </c>
      <c r="AG19" s="3" t="s">
        <v>192</v>
      </c>
      <c r="AH19" s="3" t="s">
        <v>192</v>
      </c>
      <c r="AI19" s="3" t="s">
        <v>192</v>
      </c>
      <c r="AJ19" s="3" t="s">
        <v>192</v>
      </c>
      <c r="AK19" s="3" t="s">
        <v>192</v>
      </c>
      <c r="AL19" s="3">
        <v>1</v>
      </c>
      <c r="AM19" s="3" t="s">
        <v>192</v>
      </c>
      <c r="AN19" s="3" t="s">
        <v>192</v>
      </c>
      <c r="AO19" s="3" t="s">
        <v>192</v>
      </c>
      <c r="AP19" s="3" t="s">
        <v>192</v>
      </c>
      <c r="AQ19" s="3" t="s">
        <v>192</v>
      </c>
      <c r="AR19" s="3" t="s">
        <v>192</v>
      </c>
      <c r="AS19" s="3" t="s">
        <v>192</v>
      </c>
      <c r="AT19" s="3" t="s">
        <v>192</v>
      </c>
      <c r="AU19" s="3" t="s">
        <v>192</v>
      </c>
      <c r="AV19" s="3" t="s">
        <v>192</v>
      </c>
      <c r="AW19" s="3" t="s">
        <v>192</v>
      </c>
      <c r="AX19" s="3" t="s">
        <v>192</v>
      </c>
      <c r="AY19" s="3" t="s">
        <v>192</v>
      </c>
      <c r="AZ19" s="3" t="s">
        <v>192</v>
      </c>
      <c r="BA19" s="3" t="s">
        <v>192</v>
      </c>
      <c r="BB19" s="3" t="s">
        <v>192</v>
      </c>
      <c r="BC19" s="3" t="s">
        <v>192</v>
      </c>
      <c r="BD19" s="3" t="s">
        <v>192</v>
      </c>
      <c r="BE19" s="3" t="s">
        <v>192</v>
      </c>
      <c r="BF19" s="3" t="s">
        <v>192</v>
      </c>
      <c r="BG19" s="3" t="s">
        <v>192</v>
      </c>
      <c r="BH19" s="3">
        <v>1</v>
      </c>
      <c r="BI19" s="3" t="s">
        <v>192</v>
      </c>
      <c r="BJ19" s="3" t="s">
        <v>192</v>
      </c>
      <c r="BK19" s="3" t="s">
        <v>192</v>
      </c>
      <c r="BL19" s="3" t="s">
        <v>192</v>
      </c>
      <c r="BM19" s="3" t="s">
        <v>192</v>
      </c>
      <c r="BN19" s="3" t="s">
        <v>192</v>
      </c>
      <c r="BO19" s="3" t="s">
        <v>192</v>
      </c>
      <c r="BP19" s="3" t="s">
        <v>192</v>
      </c>
      <c r="BQ19" s="3" t="s">
        <v>192</v>
      </c>
      <c r="BR19" s="3" t="s">
        <v>192</v>
      </c>
      <c r="BS19" s="3" t="s">
        <v>192</v>
      </c>
      <c r="BT19" s="3" t="s">
        <v>192</v>
      </c>
      <c r="BU19" s="3" t="s">
        <v>192</v>
      </c>
      <c r="BV19" s="3" t="s">
        <v>192</v>
      </c>
      <c r="BW19" s="3" t="s">
        <v>192</v>
      </c>
      <c r="BX19" s="3" t="s">
        <v>192</v>
      </c>
      <c r="BY19" s="3" t="s">
        <v>192</v>
      </c>
      <c r="BZ19" s="3" t="s">
        <v>192</v>
      </c>
      <c r="CA19" s="3" t="s">
        <v>192</v>
      </c>
      <c r="CB19" s="3" t="s">
        <v>192</v>
      </c>
      <c r="CC19" s="3" t="s">
        <v>192</v>
      </c>
      <c r="CD19" s="3" t="s">
        <v>192</v>
      </c>
      <c r="CE19" s="3" t="s">
        <v>192</v>
      </c>
      <c r="CF19" s="3" t="s">
        <v>192</v>
      </c>
      <c r="CG19" s="3">
        <v>1</v>
      </c>
      <c r="CH19" s="3" t="s">
        <v>192</v>
      </c>
      <c r="CI19" s="3" t="s">
        <v>192</v>
      </c>
      <c r="CJ19" s="3" t="s">
        <v>192</v>
      </c>
      <c r="CK19" s="3" t="s">
        <v>192</v>
      </c>
      <c r="CL19" s="3" t="s">
        <v>192</v>
      </c>
      <c r="CM19" s="3" t="s">
        <v>192</v>
      </c>
      <c r="CN19" s="3" t="s">
        <v>192</v>
      </c>
      <c r="CO19" s="3" t="s">
        <v>192</v>
      </c>
      <c r="CP19" s="3" t="s">
        <v>192</v>
      </c>
      <c r="CQ19" s="3" t="s">
        <v>192</v>
      </c>
      <c r="CR19" s="3" t="s">
        <v>192</v>
      </c>
      <c r="CS19" s="3" t="s">
        <v>192</v>
      </c>
      <c r="CT19" s="1">
        <f>SUM(Table7[[#This Row],[Acyl_amino_acids]:[T3PKS]])</f>
        <v>6</v>
      </c>
      <c r="CU19" s="3" t="s">
        <v>192</v>
      </c>
      <c r="CW19" s="1" t="str">
        <f>Table7[[#This Row],[NRPS]]</f>
        <v>-</v>
      </c>
      <c r="CX19" s="1">
        <f>SUM(CP19,CR19,CS19,Table7[[#This Row],[T1PKS, T3PKS]])</f>
        <v>0</v>
      </c>
      <c r="CY19" s="1">
        <f t="shared" si="0"/>
        <v>0</v>
      </c>
      <c r="CZ19" s="1">
        <f>Table7[[#This Row],[Terpene]]</f>
        <v>1</v>
      </c>
      <c r="DA19" s="1">
        <f>SUM(Table7[[#This Row],[Thiopeptide]],BH19,BF19,BE19,BC19,AZ19,AX19,AW19,AJ19,AH19,N19,L19,J19,H19,I19,K19,R19,Q19,Table7[[#This Row],[Cyanobactin, LAP]])</f>
        <v>4</v>
      </c>
      <c r="DB19" s="1">
        <f>SUM(CO19,CN19,CL19,CK19,CJ19,CI19,CH19,CF19,CE19,CD19,CB19,CA19,BZ19,BY19,BX19,BW19,BV19,BT19,BR19,BQ19,BP19,BO19,BM19,BK19,BJ19,BI19,BG19,BD19,BB19,BA19,AY19,AV19,AU19,AT19,AS19,AR19,AQ19,AP19,AO19,AN19,AM19,AL19,AK19,AG19,AF19,AE19,AD19,AC19,AB19,AA19,Z19,Y19,X19,W19,V19,U19,T19,S19,P19,O19,M19,Table7[[#This Row],[Acyl_amino_acids]],E19,F19,G19,)</f>
        <v>1</v>
      </c>
    </row>
    <row r="20" spans="1:106" x14ac:dyDescent="0.25">
      <c r="A20" s="9" t="s">
        <v>654</v>
      </c>
      <c r="B20" s="1" t="s">
        <v>435</v>
      </c>
      <c r="C20" s="1" t="s">
        <v>232</v>
      </c>
      <c r="D20" s="3" t="s">
        <v>192</v>
      </c>
      <c r="E20" s="3" t="s">
        <v>192</v>
      </c>
      <c r="F20" s="3" t="s">
        <v>192</v>
      </c>
      <c r="G20" s="3" t="s">
        <v>192</v>
      </c>
      <c r="H20" s="3">
        <v>2</v>
      </c>
      <c r="I20" s="3" t="s">
        <v>192</v>
      </c>
      <c r="J20" s="3" t="s">
        <v>192</v>
      </c>
      <c r="K20" s="3" t="s">
        <v>192</v>
      </c>
      <c r="L20" s="3" t="s">
        <v>192</v>
      </c>
      <c r="M20" s="3" t="s">
        <v>192</v>
      </c>
      <c r="N20" s="3" t="s">
        <v>192</v>
      </c>
      <c r="O20" s="3" t="s">
        <v>192</v>
      </c>
      <c r="P20" s="3" t="s">
        <v>192</v>
      </c>
      <c r="Q20" s="3" t="s">
        <v>192</v>
      </c>
      <c r="R20" s="3" t="s">
        <v>192</v>
      </c>
      <c r="S20" s="3">
        <v>1</v>
      </c>
      <c r="T20" s="3" t="s">
        <v>192</v>
      </c>
      <c r="U20" s="3" t="s">
        <v>192</v>
      </c>
      <c r="V20" s="3" t="s">
        <v>192</v>
      </c>
      <c r="W20" s="3" t="s">
        <v>192</v>
      </c>
      <c r="X20" s="3" t="s">
        <v>192</v>
      </c>
      <c r="Y20" s="3" t="s">
        <v>192</v>
      </c>
      <c r="Z20" s="3" t="s">
        <v>192</v>
      </c>
      <c r="AA20" s="3" t="s">
        <v>192</v>
      </c>
      <c r="AB20" s="3" t="s">
        <v>192</v>
      </c>
      <c r="AC20" s="3" t="s">
        <v>192</v>
      </c>
      <c r="AD20" s="3" t="s">
        <v>192</v>
      </c>
      <c r="AE20" s="3" t="s">
        <v>192</v>
      </c>
      <c r="AF20" s="3" t="s">
        <v>192</v>
      </c>
      <c r="AG20" s="3" t="s">
        <v>192</v>
      </c>
      <c r="AH20" s="3" t="s">
        <v>192</v>
      </c>
      <c r="AI20" s="3" t="s">
        <v>192</v>
      </c>
      <c r="AJ20" s="3" t="s">
        <v>192</v>
      </c>
      <c r="AK20" s="3" t="s">
        <v>192</v>
      </c>
      <c r="AL20" s="3" t="s">
        <v>192</v>
      </c>
      <c r="AM20" s="3" t="s">
        <v>192</v>
      </c>
      <c r="AN20" s="3" t="s">
        <v>192</v>
      </c>
      <c r="AO20" s="3" t="s">
        <v>192</v>
      </c>
      <c r="AP20" s="3" t="s">
        <v>192</v>
      </c>
      <c r="AQ20" s="3">
        <v>1</v>
      </c>
      <c r="AR20" s="3" t="s">
        <v>192</v>
      </c>
      <c r="AS20" s="3" t="s">
        <v>192</v>
      </c>
      <c r="AT20" s="3">
        <v>1</v>
      </c>
      <c r="AU20" s="3" t="s">
        <v>192</v>
      </c>
      <c r="AV20" s="3" t="s">
        <v>192</v>
      </c>
      <c r="AW20" s="3" t="s">
        <v>192</v>
      </c>
      <c r="AX20" s="3" t="s">
        <v>192</v>
      </c>
      <c r="AY20" s="3" t="s">
        <v>192</v>
      </c>
      <c r="AZ20" s="3" t="s">
        <v>192</v>
      </c>
      <c r="BA20" s="3" t="s">
        <v>192</v>
      </c>
      <c r="BB20" s="3" t="s">
        <v>192</v>
      </c>
      <c r="BC20" s="3" t="s">
        <v>192</v>
      </c>
      <c r="BD20" s="3" t="s">
        <v>192</v>
      </c>
      <c r="BE20" s="3" t="s">
        <v>192</v>
      </c>
      <c r="BF20" s="3">
        <v>1</v>
      </c>
      <c r="BG20" s="3" t="s">
        <v>192</v>
      </c>
      <c r="BH20" s="3">
        <v>2</v>
      </c>
      <c r="BI20" s="3">
        <v>1</v>
      </c>
      <c r="BJ20" s="3" t="s">
        <v>192</v>
      </c>
      <c r="BK20" s="3" t="s">
        <v>192</v>
      </c>
      <c r="BL20" s="3">
        <v>6</v>
      </c>
      <c r="BM20" s="3" t="s">
        <v>192</v>
      </c>
      <c r="BN20" s="3" t="s">
        <v>192</v>
      </c>
      <c r="BO20" s="3" t="s">
        <v>192</v>
      </c>
      <c r="BP20" s="3" t="s">
        <v>192</v>
      </c>
      <c r="BQ20" s="3" t="s">
        <v>192</v>
      </c>
      <c r="BR20" s="3" t="s">
        <v>192</v>
      </c>
      <c r="BS20" s="3">
        <v>1</v>
      </c>
      <c r="BT20" s="3" t="s">
        <v>192</v>
      </c>
      <c r="BU20" s="3" t="s">
        <v>192</v>
      </c>
      <c r="BV20" s="3" t="s">
        <v>192</v>
      </c>
      <c r="BW20" s="3">
        <v>1</v>
      </c>
      <c r="BX20" s="3" t="s">
        <v>192</v>
      </c>
      <c r="BY20" s="3" t="s">
        <v>192</v>
      </c>
      <c r="BZ20" s="3">
        <v>1</v>
      </c>
      <c r="CA20" s="3" t="s">
        <v>192</v>
      </c>
      <c r="CB20" s="3" t="s">
        <v>192</v>
      </c>
      <c r="CC20" s="3" t="s">
        <v>192</v>
      </c>
      <c r="CD20" s="3" t="s">
        <v>192</v>
      </c>
      <c r="CE20" s="3" t="s">
        <v>192</v>
      </c>
      <c r="CF20" s="3" t="s">
        <v>192</v>
      </c>
      <c r="CG20" s="3">
        <v>2</v>
      </c>
      <c r="CH20" s="3" t="s">
        <v>192</v>
      </c>
      <c r="CI20" s="3" t="s">
        <v>192</v>
      </c>
      <c r="CJ20" s="3" t="s">
        <v>192</v>
      </c>
      <c r="CK20" s="3" t="s">
        <v>192</v>
      </c>
      <c r="CL20" s="3" t="s">
        <v>192</v>
      </c>
      <c r="CM20" s="3" t="s">
        <v>192</v>
      </c>
      <c r="CN20" s="3" t="s">
        <v>192</v>
      </c>
      <c r="CO20" s="3" t="s">
        <v>192</v>
      </c>
      <c r="CP20" s="3" t="s">
        <v>192</v>
      </c>
      <c r="CQ20" s="3">
        <v>1</v>
      </c>
      <c r="CR20" s="3" t="s">
        <v>192</v>
      </c>
      <c r="CS20" s="3" t="s">
        <v>192</v>
      </c>
      <c r="CT20" s="1">
        <f>SUM(Table7[[#This Row],[Acyl_amino_acids]:[T3PKS]])</f>
        <v>21</v>
      </c>
      <c r="CU20" s="2" t="s">
        <v>560</v>
      </c>
      <c r="CW20" s="1">
        <f>Table7[[#This Row],[NRPS]]</f>
        <v>6</v>
      </c>
      <c r="CX20" s="1">
        <f>SUM(CP20,CR20,CS20,Table7[[#This Row],[T1PKS, T3PKS]])</f>
        <v>1</v>
      </c>
      <c r="CY20" s="1">
        <f t="shared" si="0"/>
        <v>1</v>
      </c>
      <c r="CZ20" s="1">
        <f>Table7[[#This Row],[Terpene]]</f>
        <v>2</v>
      </c>
      <c r="DA20" s="1">
        <f>SUM(Table7[[#This Row],[Thiopeptide]],BH20,BF20,BE20,BC20,AZ20,AX20,AW20,AJ20,AH20,N20,L20,J20,H20,I20,K20,R20,Q20,Table7[[#This Row],[Cyanobactin, LAP]])</f>
        <v>5</v>
      </c>
      <c r="DB20" s="1">
        <f>SUM(CO20,CN20,CL20,CK20,CJ20,CI20,CH20,CF20,CE20,CD20,CB20,CA20,BZ20,BY20,BX20,BW20,BV20,BT20,BR20,BQ20,BP20,BO20,BM20,BK20,BJ20,BI20,BG20,BD20,BB20,BA20,AY20,AV20,AU20,AT20,AS20,AR20,AQ20,AP20,AO20,AN20,AM20,AL20,AK20,AG20,AF20,AE20,AD20,AC20,AB20,AA20,Z20,Y20,X20,W20,V20,U20,T20,S20,P20,O20,M20,Table7[[#This Row],[Acyl_amino_acids]],E20,F20,G20,)</f>
        <v>6</v>
      </c>
    </row>
    <row r="21" spans="1:106" x14ac:dyDescent="0.25">
      <c r="A21" s="9" t="s">
        <v>656</v>
      </c>
      <c r="B21" s="1" t="s">
        <v>435</v>
      </c>
      <c r="C21" s="1" t="s">
        <v>574</v>
      </c>
      <c r="D21" s="3" t="s">
        <v>192</v>
      </c>
      <c r="E21" s="3" t="s">
        <v>192</v>
      </c>
      <c r="F21" s="3" t="s">
        <v>192</v>
      </c>
      <c r="G21" s="3" t="s">
        <v>192</v>
      </c>
      <c r="H21" s="3">
        <v>2</v>
      </c>
      <c r="I21" s="3" t="s">
        <v>192</v>
      </c>
      <c r="J21" s="3" t="s">
        <v>192</v>
      </c>
      <c r="K21" s="3" t="s">
        <v>192</v>
      </c>
      <c r="L21" s="3" t="s">
        <v>192</v>
      </c>
      <c r="M21" s="3" t="s">
        <v>192</v>
      </c>
      <c r="N21" s="3" t="s">
        <v>192</v>
      </c>
      <c r="O21" s="3" t="s">
        <v>192</v>
      </c>
      <c r="P21" s="3" t="s">
        <v>192</v>
      </c>
      <c r="Q21" s="3" t="s">
        <v>192</v>
      </c>
      <c r="R21" s="3" t="s">
        <v>192</v>
      </c>
      <c r="S21" s="3" t="s">
        <v>192</v>
      </c>
      <c r="T21" s="3" t="s">
        <v>192</v>
      </c>
      <c r="U21" s="3" t="s">
        <v>192</v>
      </c>
      <c r="V21" s="3" t="s">
        <v>192</v>
      </c>
      <c r="W21" s="3" t="s">
        <v>192</v>
      </c>
      <c r="X21" s="3" t="s">
        <v>192</v>
      </c>
      <c r="Y21" s="3" t="s">
        <v>192</v>
      </c>
      <c r="Z21" s="3" t="s">
        <v>192</v>
      </c>
      <c r="AA21" s="3" t="s">
        <v>192</v>
      </c>
      <c r="AB21" s="3" t="s">
        <v>192</v>
      </c>
      <c r="AC21" s="3" t="s">
        <v>192</v>
      </c>
      <c r="AD21" s="3" t="s">
        <v>192</v>
      </c>
      <c r="AE21" s="3" t="s">
        <v>192</v>
      </c>
      <c r="AF21" s="3" t="s">
        <v>192</v>
      </c>
      <c r="AG21" s="3" t="s">
        <v>192</v>
      </c>
      <c r="AH21" s="3" t="s">
        <v>192</v>
      </c>
      <c r="AI21" s="3" t="s">
        <v>192</v>
      </c>
      <c r="AJ21" s="3" t="s">
        <v>192</v>
      </c>
      <c r="AK21" s="3" t="s">
        <v>192</v>
      </c>
      <c r="AL21" s="3" t="s">
        <v>192</v>
      </c>
      <c r="AM21" s="3" t="s">
        <v>192</v>
      </c>
      <c r="AN21" s="3" t="s">
        <v>192</v>
      </c>
      <c r="AO21" s="3" t="s">
        <v>192</v>
      </c>
      <c r="AP21" s="3" t="s">
        <v>192</v>
      </c>
      <c r="AQ21" s="3">
        <v>1</v>
      </c>
      <c r="AR21" s="3" t="s">
        <v>192</v>
      </c>
      <c r="AS21" s="3" t="s">
        <v>192</v>
      </c>
      <c r="AT21" s="3">
        <v>1</v>
      </c>
      <c r="AU21" s="3" t="s">
        <v>192</v>
      </c>
      <c r="AV21" s="3" t="s">
        <v>192</v>
      </c>
      <c r="AW21" s="3" t="s">
        <v>192</v>
      </c>
      <c r="AX21" s="3" t="s">
        <v>192</v>
      </c>
      <c r="AY21" s="3" t="s">
        <v>192</v>
      </c>
      <c r="AZ21" s="3" t="s">
        <v>192</v>
      </c>
      <c r="BA21" s="3" t="s">
        <v>192</v>
      </c>
      <c r="BB21" s="3" t="s">
        <v>192</v>
      </c>
      <c r="BC21" s="3" t="s">
        <v>192</v>
      </c>
      <c r="BD21" s="3" t="s">
        <v>192</v>
      </c>
      <c r="BE21" s="3" t="s">
        <v>192</v>
      </c>
      <c r="BF21" s="3" t="s">
        <v>192</v>
      </c>
      <c r="BG21" s="3" t="s">
        <v>192</v>
      </c>
      <c r="BH21" s="3" t="s">
        <v>192</v>
      </c>
      <c r="BI21" s="3" t="s">
        <v>192</v>
      </c>
      <c r="BJ21" s="3" t="s">
        <v>192</v>
      </c>
      <c r="BK21" s="3" t="s">
        <v>192</v>
      </c>
      <c r="BL21" s="3">
        <v>1</v>
      </c>
      <c r="BM21" s="3" t="s">
        <v>192</v>
      </c>
      <c r="BN21" s="3" t="s">
        <v>192</v>
      </c>
      <c r="BO21" s="3" t="s">
        <v>192</v>
      </c>
      <c r="BP21" s="3" t="s">
        <v>192</v>
      </c>
      <c r="BQ21" s="3" t="s">
        <v>192</v>
      </c>
      <c r="BR21" s="3" t="s">
        <v>192</v>
      </c>
      <c r="BS21" s="3">
        <v>1</v>
      </c>
      <c r="BT21" s="3" t="s">
        <v>192</v>
      </c>
      <c r="BU21" s="3" t="s">
        <v>192</v>
      </c>
      <c r="BV21" s="3" t="s">
        <v>192</v>
      </c>
      <c r="BW21" s="3" t="s">
        <v>192</v>
      </c>
      <c r="BX21" s="3" t="s">
        <v>192</v>
      </c>
      <c r="BY21" s="3" t="s">
        <v>192</v>
      </c>
      <c r="BZ21" s="3" t="s">
        <v>192</v>
      </c>
      <c r="CA21" s="3">
        <v>1</v>
      </c>
      <c r="CB21" s="3" t="s">
        <v>192</v>
      </c>
      <c r="CC21" s="3" t="s">
        <v>192</v>
      </c>
      <c r="CD21" s="3" t="s">
        <v>192</v>
      </c>
      <c r="CE21" s="3" t="s">
        <v>192</v>
      </c>
      <c r="CF21" s="3" t="s">
        <v>192</v>
      </c>
      <c r="CG21" s="3">
        <v>2</v>
      </c>
      <c r="CH21" s="3" t="s">
        <v>192</v>
      </c>
      <c r="CI21" s="3" t="s">
        <v>192</v>
      </c>
      <c r="CJ21" s="3" t="s">
        <v>192</v>
      </c>
      <c r="CK21" s="3" t="s">
        <v>192</v>
      </c>
      <c r="CL21" s="3" t="s">
        <v>192</v>
      </c>
      <c r="CM21" s="3" t="s">
        <v>192</v>
      </c>
      <c r="CN21" s="3" t="s">
        <v>192</v>
      </c>
      <c r="CO21" s="3" t="s">
        <v>192</v>
      </c>
      <c r="CP21" s="3" t="s">
        <v>192</v>
      </c>
      <c r="CQ21" s="3" t="s">
        <v>192</v>
      </c>
      <c r="CR21" s="3" t="s">
        <v>192</v>
      </c>
      <c r="CS21" s="3" t="s">
        <v>192</v>
      </c>
      <c r="CT21" s="1">
        <f>SUM(Table7[[#This Row],[Acyl_amino_acids]:[T3PKS]])</f>
        <v>9</v>
      </c>
      <c r="CU21" s="3" t="s">
        <v>192</v>
      </c>
      <c r="CW21" s="1">
        <f>Table7[[#This Row],[NRPS]]</f>
        <v>1</v>
      </c>
      <c r="CX21" s="1">
        <f>SUM(CP21,CR21,CS21,Table7[[#This Row],[T1PKS, T3PKS]])</f>
        <v>0</v>
      </c>
      <c r="CY21" s="1">
        <f t="shared" si="0"/>
        <v>1</v>
      </c>
      <c r="CZ21" s="1">
        <f>Table7[[#This Row],[Terpene]]</f>
        <v>2</v>
      </c>
      <c r="DA21" s="1">
        <f>SUM(Table7[[#This Row],[Thiopeptide]],BH21,BF21,BE21,BC21,AZ21,AX21,AW21,AJ21,AH21,N21,L21,J21,H21,I21,K21,R21,Q21,Table7[[#This Row],[Cyanobactin, LAP]])</f>
        <v>2</v>
      </c>
      <c r="DB21" s="1">
        <f>SUM(CO21,CN21,CL21,CK21,CJ21,CI21,CH21,CF21,CE21,CD21,CB21,CA21,BZ21,BY21,BX21,BW21,BV21,BT21,BR21,BQ21,BP21,BO21,BM21,BK21,BJ21,BI21,BG21,BD21,BB21,BA21,AY21,AV21,AU21,AT21,AS21,AR21,AQ21,AP21,AO21,AN21,AM21,AL21,AK21,AG21,AF21,AE21,AD21,AC21,AB21,AA21,Z21,Y21,X21,W21,V21,U21,T21,S21,P21,O21,M21,Table7[[#This Row],[Acyl_amino_acids]],E21,F21,G21,)</f>
        <v>3</v>
      </c>
    </row>
    <row r="22" spans="1:106" x14ac:dyDescent="0.25">
      <c r="A22" s="9" t="s">
        <v>657</v>
      </c>
      <c r="B22" s="1" t="s">
        <v>435</v>
      </c>
      <c r="C22" s="1" t="s">
        <v>247</v>
      </c>
      <c r="D22" s="3" t="s">
        <v>192</v>
      </c>
      <c r="E22" s="3" t="s">
        <v>192</v>
      </c>
      <c r="F22" s="3" t="s">
        <v>192</v>
      </c>
      <c r="G22" s="3" t="s">
        <v>192</v>
      </c>
      <c r="H22" s="3">
        <v>2</v>
      </c>
      <c r="I22" s="3" t="s">
        <v>192</v>
      </c>
      <c r="J22" s="3" t="s">
        <v>192</v>
      </c>
      <c r="K22" s="3" t="s">
        <v>192</v>
      </c>
      <c r="L22" s="3" t="s">
        <v>192</v>
      </c>
      <c r="M22" s="3" t="s">
        <v>192</v>
      </c>
      <c r="N22" s="3" t="s">
        <v>192</v>
      </c>
      <c r="O22" s="3" t="s">
        <v>192</v>
      </c>
      <c r="P22" s="3" t="s">
        <v>192</v>
      </c>
      <c r="Q22" s="3" t="s">
        <v>192</v>
      </c>
      <c r="R22" s="3" t="s">
        <v>192</v>
      </c>
      <c r="S22" s="3">
        <v>1</v>
      </c>
      <c r="T22" s="3" t="s">
        <v>192</v>
      </c>
      <c r="U22" s="3" t="s">
        <v>192</v>
      </c>
      <c r="V22" s="3" t="s">
        <v>192</v>
      </c>
      <c r="W22" s="3" t="s">
        <v>192</v>
      </c>
      <c r="X22" s="3" t="s">
        <v>192</v>
      </c>
      <c r="Y22" s="3" t="s">
        <v>192</v>
      </c>
      <c r="Z22" s="3" t="s">
        <v>192</v>
      </c>
      <c r="AA22" s="3" t="s">
        <v>192</v>
      </c>
      <c r="AB22" s="3" t="s">
        <v>192</v>
      </c>
      <c r="AC22" s="3" t="s">
        <v>192</v>
      </c>
      <c r="AD22" s="3" t="s">
        <v>192</v>
      </c>
      <c r="AE22" s="3" t="s">
        <v>192</v>
      </c>
      <c r="AF22" s="3" t="s">
        <v>192</v>
      </c>
      <c r="AG22" s="3" t="s">
        <v>192</v>
      </c>
      <c r="AH22" s="3" t="s">
        <v>192</v>
      </c>
      <c r="AI22" s="3" t="s">
        <v>192</v>
      </c>
      <c r="AJ22" s="3" t="s">
        <v>192</v>
      </c>
      <c r="AK22" s="3" t="s">
        <v>192</v>
      </c>
      <c r="AL22" s="3" t="s">
        <v>192</v>
      </c>
      <c r="AM22" s="3" t="s">
        <v>192</v>
      </c>
      <c r="AN22" s="3" t="s">
        <v>192</v>
      </c>
      <c r="AO22" s="3" t="s">
        <v>192</v>
      </c>
      <c r="AP22" s="3" t="s">
        <v>192</v>
      </c>
      <c r="AQ22" s="3">
        <v>1</v>
      </c>
      <c r="AR22" s="3" t="s">
        <v>192</v>
      </c>
      <c r="AS22" s="3" t="s">
        <v>192</v>
      </c>
      <c r="AT22" s="3">
        <v>1</v>
      </c>
      <c r="AU22" s="3" t="s">
        <v>192</v>
      </c>
      <c r="AV22" s="3" t="s">
        <v>192</v>
      </c>
      <c r="AW22" s="3" t="s">
        <v>192</v>
      </c>
      <c r="AX22" s="3" t="s">
        <v>192</v>
      </c>
      <c r="AY22" s="3" t="s">
        <v>192</v>
      </c>
      <c r="AZ22" s="3" t="s">
        <v>192</v>
      </c>
      <c r="BA22" s="3" t="s">
        <v>192</v>
      </c>
      <c r="BB22" s="3" t="s">
        <v>192</v>
      </c>
      <c r="BC22" s="3" t="s">
        <v>192</v>
      </c>
      <c r="BD22" s="3" t="s">
        <v>192</v>
      </c>
      <c r="BE22" s="3" t="s">
        <v>192</v>
      </c>
      <c r="BF22" s="3">
        <v>1</v>
      </c>
      <c r="BG22" s="3" t="s">
        <v>192</v>
      </c>
      <c r="BH22" s="3">
        <v>2</v>
      </c>
      <c r="BI22" s="3">
        <v>1</v>
      </c>
      <c r="BJ22" s="3" t="s">
        <v>192</v>
      </c>
      <c r="BK22" s="3" t="s">
        <v>192</v>
      </c>
      <c r="BL22" s="3">
        <v>6</v>
      </c>
      <c r="BM22" s="3" t="s">
        <v>192</v>
      </c>
      <c r="BN22" s="3" t="s">
        <v>192</v>
      </c>
      <c r="BO22" s="3" t="s">
        <v>192</v>
      </c>
      <c r="BP22" s="3" t="s">
        <v>192</v>
      </c>
      <c r="BQ22" s="3" t="s">
        <v>192</v>
      </c>
      <c r="BR22" s="3" t="s">
        <v>192</v>
      </c>
      <c r="BS22" s="3">
        <v>1</v>
      </c>
      <c r="BT22" s="3" t="s">
        <v>192</v>
      </c>
      <c r="BU22" s="3" t="s">
        <v>192</v>
      </c>
      <c r="BV22" s="3" t="s">
        <v>192</v>
      </c>
      <c r="BW22" s="3" t="s">
        <v>192</v>
      </c>
      <c r="BX22" s="3">
        <v>1</v>
      </c>
      <c r="BY22" s="3" t="s">
        <v>192</v>
      </c>
      <c r="BZ22" s="3">
        <v>1</v>
      </c>
      <c r="CA22" s="3" t="s">
        <v>192</v>
      </c>
      <c r="CB22" s="3" t="s">
        <v>192</v>
      </c>
      <c r="CC22" s="3" t="s">
        <v>192</v>
      </c>
      <c r="CD22" s="3" t="s">
        <v>192</v>
      </c>
      <c r="CE22" s="3" t="s">
        <v>192</v>
      </c>
      <c r="CF22" s="3" t="s">
        <v>192</v>
      </c>
      <c r="CG22" s="3">
        <v>2</v>
      </c>
      <c r="CH22" s="3" t="s">
        <v>192</v>
      </c>
      <c r="CI22" s="3" t="s">
        <v>192</v>
      </c>
      <c r="CJ22" s="3" t="s">
        <v>192</v>
      </c>
      <c r="CK22" s="3" t="s">
        <v>192</v>
      </c>
      <c r="CL22" s="3" t="s">
        <v>192</v>
      </c>
      <c r="CM22" s="3" t="s">
        <v>192</v>
      </c>
      <c r="CN22" s="3" t="s">
        <v>192</v>
      </c>
      <c r="CO22" s="3" t="s">
        <v>192</v>
      </c>
      <c r="CP22" s="3" t="s">
        <v>192</v>
      </c>
      <c r="CQ22" s="3">
        <v>1</v>
      </c>
      <c r="CR22" s="3" t="s">
        <v>192</v>
      </c>
      <c r="CS22" s="3" t="s">
        <v>192</v>
      </c>
      <c r="CT22" s="1">
        <f>SUM(Table7[[#This Row],[Acyl_amino_acids]:[T3PKS]])</f>
        <v>21</v>
      </c>
      <c r="CU22" s="2" t="s">
        <v>560</v>
      </c>
      <c r="CW22" s="1">
        <f>Table7[[#This Row],[NRPS]]</f>
        <v>6</v>
      </c>
      <c r="CX22" s="1">
        <f>SUM(CP22,CR22,CS22,Table7[[#This Row],[T1PKS, T3PKS]])</f>
        <v>1</v>
      </c>
      <c r="CY22" s="1">
        <f t="shared" si="0"/>
        <v>1</v>
      </c>
      <c r="CZ22" s="1">
        <f>Table7[[#This Row],[Terpene]]</f>
        <v>2</v>
      </c>
      <c r="DA22" s="1">
        <f>SUM(Table7[[#This Row],[Thiopeptide]],BH22,BF22,BE22,BC22,AZ22,AX22,AW22,AJ22,AH22,N22,L22,J22,H22,I22,K22,R22,Q22,Table7[[#This Row],[Cyanobactin, LAP]])</f>
        <v>5</v>
      </c>
      <c r="DB22" s="1">
        <f>SUM(CO22,CN22,CL22,CK22,CJ22,CI22,CH22,CF22,CE22,CD22,CB22,CA22,BZ22,BY22,BX22,BW22,BV22,BT22,BR22,BQ22,BP22,BO22,BM22,BK22,BJ22,BI22,BG22,BD22,BB22,BA22,AY22,AV22,AU22,AT22,AS22,AR22,AQ22,AP22,AO22,AN22,AM22,AL22,AK22,AG22,AF22,AE22,AD22,AC22,AB22,AA22,Z22,Y22,X22,W22,V22,U22,T22,S22,P22,O22,M22,Table7[[#This Row],[Acyl_amino_acids]],E22,F22,G22,)</f>
        <v>6</v>
      </c>
    </row>
    <row r="23" spans="1:106" x14ac:dyDescent="0.25">
      <c r="A23" s="9" t="s">
        <v>638</v>
      </c>
      <c r="B23" s="1" t="s">
        <v>435</v>
      </c>
      <c r="C23" s="1" t="s">
        <v>248</v>
      </c>
      <c r="D23" s="1" t="s">
        <v>192</v>
      </c>
      <c r="E23" s="1" t="s">
        <v>192</v>
      </c>
      <c r="F23" s="3" t="s">
        <v>192</v>
      </c>
      <c r="G23" s="3" t="s">
        <v>192</v>
      </c>
      <c r="H23" s="3">
        <v>1</v>
      </c>
      <c r="I23" s="3" t="s">
        <v>192</v>
      </c>
      <c r="J23" s="3" t="s">
        <v>192</v>
      </c>
      <c r="K23" s="3" t="s">
        <v>192</v>
      </c>
      <c r="L23" s="3" t="s">
        <v>192</v>
      </c>
      <c r="M23" s="3" t="s">
        <v>192</v>
      </c>
      <c r="N23" s="3" t="s">
        <v>192</v>
      </c>
      <c r="O23" s="3" t="s">
        <v>192</v>
      </c>
      <c r="P23" s="3" t="s">
        <v>192</v>
      </c>
      <c r="Q23" s="3" t="s">
        <v>192</v>
      </c>
      <c r="R23" s="3" t="s">
        <v>192</v>
      </c>
      <c r="S23" s="3" t="s">
        <v>192</v>
      </c>
      <c r="T23" s="3" t="s">
        <v>192</v>
      </c>
      <c r="U23" s="3" t="s">
        <v>192</v>
      </c>
      <c r="V23" s="3" t="s">
        <v>192</v>
      </c>
      <c r="W23" s="3" t="s">
        <v>192</v>
      </c>
      <c r="X23" s="3" t="s">
        <v>192</v>
      </c>
      <c r="Y23" s="3" t="s">
        <v>192</v>
      </c>
      <c r="Z23" s="3" t="s">
        <v>192</v>
      </c>
      <c r="AA23" s="3" t="s">
        <v>192</v>
      </c>
      <c r="AB23" s="3" t="s">
        <v>192</v>
      </c>
      <c r="AC23" s="3" t="s">
        <v>192</v>
      </c>
      <c r="AD23" s="3" t="s">
        <v>192</v>
      </c>
      <c r="AE23" s="3" t="s">
        <v>192</v>
      </c>
      <c r="AF23" s="3" t="s">
        <v>192</v>
      </c>
      <c r="AG23" s="3" t="s">
        <v>192</v>
      </c>
      <c r="AH23" s="3">
        <v>1</v>
      </c>
      <c r="AI23" s="3" t="s">
        <v>192</v>
      </c>
      <c r="AJ23" s="3" t="s">
        <v>192</v>
      </c>
      <c r="AK23" s="3" t="s">
        <v>192</v>
      </c>
      <c r="AL23" s="3">
        <v>1</v>
      </c>
      <c r="AM23" s="3" t="s">
        <v>192</v>
      </c>
      <c r="AN23" s="3" t="s">
        <v>192</v>
      </c>
      <c r="AO23" s="3" t="s">
        <v>192</v>
      </c>
      <c r="AP23" s="3" t="s">
        <v>192</v>
      </c>
      <c r="AQ23" s="3" t="s">
        <v>192</v>
      </c>
      <c r="AR23" s="3" t="s">
        <v>192</v>
      </c>
      <c r="AS23" s="3" t="s">
        <v>192</v>
      </c>
      <c r="AT23" s="3" t="s">
        <v>192</v>
      </c>
      <c r="AU23" s="3" t="s">
        <v>192</v>
      </c>
      <c r="AV23" s="3" t="s">
        <v>192</v>
      </c>
      <c r="AW23" s="3">
        <v>1</v>
      </c>
      <c r="AX23" s="3" t="s">
        <v>192</v>
      </c>
      <c r="AY23" s="3" t="s">
        <v>192</v>
      </c>
      <c r="AZ23" s="3">
        <v>1</v>
      </c>
      <c r="BA23" s="3" t="s">
        <v>192</v>
      </c>
      <c r="BB23" s="3" t="s">
        <v>192</v>
      </c>
      <c r="BC23" s="3" t="s">
        <v>192</v>
      </c>
      <c r="BD23" s="3" t="s">
        <v>192</v>
      </c>
      <c r="BE23" s="3" t="s">
        <v>192</v>
      </c>
      <c r="BF23" s="3">
        <v>1</v>
      </c>
      <c r="BG23" s="3" t="s">
        <v>192</v>
      </c>
      <c r="BH23" s="3">
        <v>1</v>
      </c>
      <c r="BI23" s="3" t="s">
        <v>192</v>
      </c>
      <c r="BJ23" s="3" t="s">
        <v>192</v>
      </c>
      <c r="BK23" s="3" t="s">
        <v>192</v>
      </c>
      <c r="BL23" s="3">
        <v>1</v>
      </c>
      <c r="BM23" s="3" t="s">
        <v>192</v>
      </c>
      <c r="BN23" s="3" t="s">
        <v>192</v>
      </c>
      <c r="BO23" s="3" t="s">
        <v>192</v>
      </c>
      <c r="BP23" s="3" t="s">
        <v>192</v>
      </c>
      <c r="BQ23" s="3" t="s">
        <v>192</v>
      </c>
      <c r="BR23" s="3" t="s">
        <v>192</v>
      </c>
      <c r="BS23" s="3">
        <v>1</v>
      </c>
      <c r="BT23" s="3" t="s">
        <v>192</v>
      </c>
      <c r="BU23" s="3" t="s">
        <v>192</v>
      </c>
      <c r="BV23" s="3" t="s">
        <v>192</v>
      </c>
      <c r="BW23" s="3" t="s">
        <v>192</v>
      </c>
      <c r="BX23" s="3" t="s">
        <v>192</v>
      </c>
      <c r="BY23" s="3" t="s">
        <v>192</v>
      </c>
      <c r="BZ23" s="3" t="s">
        <v>192</v>
      </c>
      <c r="CA23" s="3" t="s">
        <v>192</v>
      </c>
      <c r="CB23" s="3" t="s">
        <v>192</v>
      </c>
      <c r="CC23" s="3" t="s">
        <v>192</v>
      </c>
      <c r="CD23" s="3" t="s">
        <v>192</v>
      </c>
      <c r="CE23" s="3" t="s">
        <v>192</v>
      </c>
      <c r="CF23" s="3" t="s">
        <v>192</v>
      </c>
      <c r="CG23" s="3">
        <v>2</v>
      </c>
      <c r="CH23" s="3" t="s">
        <v>192</v>
      </c>
      <c r="CI23" s="3" t="s">
        <v>192</v>
      </c>
      <c r="CJ23" s="3" t="s">
        <v>192</v>
      </c>
      <c r="CK23" s="3" t="s">
        <v>192</v>
      </c>
      <c r="CL23" s="3" t="s">
        <v>192</v>
      </c>
      <c r="CM23" s="3" t="s">
        <v>192</v>
      </c>
      <c r="CN23" s="3" t="s">
        <v>192</v>
      </c>
      <c r="CO23" s="3" t="s">
        <v>192</v>
      </c>
      <c r="CP23" s="3" t="s">
        <v>192</v>
      </c>
      <c r="CQ23" s="3" t="s">
        <v>192</v>
      </c>
      <c r="CR23" s="3" t="s">
        <v>192</v>
      </c>
      <c r="CS23" s="3" t="s">
        <v>192</v>
      </c>
      <c r="CT23" s="1">
        <f>SUM(Table7[[#This Row],[Acyl_amino_acids]:[T3PKS]])</f>
        <v>11</v>
      </c>
      <c r="CU23" s="3" t="s">
        <v>196</v>
      </c>
      <c r="CW23" s="1">
        <f>Table7[[#This Row],[NRPS]]</f>
        <v>1</v>
      </c>
      <c r="CX23" s="1">
        <f>SUM(CP23,CR23,CS23,Table7[[#This Row],[T1PKS, T3PKS]])</f>
        <v>0</v>
      </c>
      <c r="CY23" s="1">
        <f t="shared" si="0"/>
        <v>1</v>
      </c>
      <c r="CZ23" s="1">
        <f>Table7[[#This Row],[Terpene]]</f>
        <v>2</v>
      </c>
      <c r="DA23" s="1">
        <f>SUM(Table7[[#This Row],[Thiopeptide]],BH23,BF23,BE23,BC23,AZ23,AX23,AW23,AJ23,AH23,N23,L23,J23,H23,I23,K23,R23,Q23,Table7[[#This Row],[Cyanobactin, LAP]])</f>
        <v>6</v>
      </c>
      <c r="DB23" s="1">
        <f>SUM(CO23,CN23,CL23,CK23,CJ23,CI23,CH23,CF23,CE23,CD23,CB23,CA23,BZ23,BY23,BX23,BW23,BV23,BT23,BR23,BQ23,BP23,BO23,BM23,BK23,BJ23,BI23,BG23,BD23,BB23,BA23,AY23,AV23,AU23,AT23,AS23,AR23,AQ23,AP23,AO23,AN23,AM23,AL23,AK23,AG23,AF23,AE23,AD23,AC23,AB23,AA23,Z23,Y23,X23,W23,V23,U23,T23,S23,P23,O23,M23,Table7[[#This Row],[Acyl_amino_acids]],E23,F23,G23,)</f>
        <v>1</v>
      </c>
    </row>
    <row r="24" spans="1:106" x14ac:dyDescent="0.25">
      <c r="A24" s="9" t="s">
        <v>709</v>
      </c>
      <c r="B24" s="1" t="s">
        <v>435</v>
      </c>
      <c r="C24" s="1" t="s">
        <v>249</v>
      </c>
      <c r="D24" s="1" t="s">
        <v>192</v>
      </c>
      <c r="E24" s="1" t="s">
        <v>192</v>
      </c>
      <c r="F24" s="3" t="s">
        <v>192</v>
      </c>
      <c r="G24" s="3" t="s">
        <v>192</v>
      </c>
      <c r="H24" s="3">
        <v>1</v>
      </c>
      <c r="I24" s="3" t="s">
        <v>192</v>
      </c>
      <c r="J24" s="3" t="s">
        <v>192</v>
      </c>
      <c r="K24" s="3" t="s">
        <v>192</v>
      </c>
      <c r="L24" s="3" t="s">
        <v>192</v>
      </c>
      <c r="M24" s="3" t="s">
        <v>192</v>
      </c>
      <c r="N24" s="3" t="s">
        <v>192</v>
      </c>
      <c r="O24" s="3" t="s">
        <v>192</v>
      </c>
      <c r="P24" s="3" t="s">
        <v>192</v>
      </c>
      <c r="Q24" s="3" t="s">
        <v>192</v>
      </c>
      <c r="R24" s="3" t="s">
        <v>192</v>
      </c>
      <c r="S24" s="3" t="s">
        <v>192</v>
      </c>
      <c r="T24" s="3" t="s">
        <v>192</v>
      </c>
      <c r="U24" s="3" t="s">
        <v>192</v>
      </c>
      <c r="V24" s="3" t="s">
        <v>192</v>
      </c>
      <c r="W24" s="3" t="s">
        <v>192</v>
      </c>
      <c r="X24" s="3" t="s">
        <v>192</v>
      </c>
      <c r="Y24" s="3" t="s">
        <v>192</v>
      </c>
      <c r="Z24" s="3" t="s">
        <v>192</v>
      </c>
      <c r="AA24" s="3" t="s">
        <v>192</v>
      </c>
      <c r="AB24" s="3" t="s">
        <v>192</v>
      </c>
      <c r="AC24" s="3" t="s">
        <v>192</v>
      </c>
      <c r="AD24" s="3" t="s">
        <v>192</v>
      </c>
      <c r="AE24" s="3" t="s">
        <v>192</v>
      </c>
      <c r="AF24" s="3" t="s">
        <v>192</v>
      </c>
      <c r="AG24" s="3" t="s">
        <v>192</v>
      </c>
      <c r="AH24" s="3" t="s">
        <v>192</v>
      </c>
      <c r="AI24" s="3" t="s">
        <v>192</v>
      </c>
      <c r="AJ24" s="3" t="s">
        <v>192</v>
      </c>
      <c r="AK24" s="3" t="s">
        <v>192</v>
      </c>
      <c r="AL24" s="3" t="s">
        <v>192</v>
      </c>
      <c r="AM24" s="3" t="s">
        <v>192</v>
      </c>
      <c r="AN24" s="3" t="s">
        <v>192</v>
      </c>
      <c r="AO24" s="3" t="s">
        <v>192</v>
      </c>
      <c r="AP24" s="3" t="s">
        <v>192</v>
      </c>
      <c r="AQ24" s="3">
        <v>1</v>
      </c>
      <c r="AR24" s="3" t="s">
        <v>192</v>
      </c>
      <c r="AS24" s="3" t="s">
        <v>192</v>
      </c>
      <c r="AT24" s="3" t="s">
        <v>192</v>
      </c>
      <c r="AU24" s="3" t="s">
        <v>192</v>
      </c>
      <c r="AV24" s="3" t="s">
        <v>192</v>
      </c>
      <c r="AW24" s="3" t="s">
        <v>192</v>
      </c>
      <c r="AX24" s="3" t="s">
        <v>192</v>
      </c>
      <c r="AY24" s="3" t="s">
        <v>192</v>
      </c>
      <c r="AZ24" s="3" t="s">
        <v>192</v>
      </c>
      <c r="BA24" s="3" t="s">
        <v>192</v>
      </c>
      <c r="BB24" s="3" t="s">
        <v>192</v>
      </c>
      <c r="BC24" s="3" t="s">
        <v>192</v>
      </c>
      <c r="BD24" s="3" t="s">
        <v>192</v>
      </c>
      <c r="BE24" s="3" t="s">
        <v>192</v>
      </c>
      <c r="BF24" s="3" t="s">
        <v>192</v>
      </c>
      <c r="BG24" s="3" t="s">
        <v>192</v>
      </c>
      <c r="BH24" s="3" t="s">
        <v>192</v>
      </c>
      <c r="BI24" s="3" t="s">
        <v>192</v>
      </c>
      <c r="BJ24" s="3" t="s">
        <v>192</v>
      </c>
      <c r="BK24" s="3" t="s">
        <v>192</v>
      </c>
      <c r="BL24" s="3">
        <v>3</v>
      </c>
      <c r="BM24" s="3" t="s">
        <v>192</v>
      </c>
      <c r="BN24" s="3" t="s">
        <v>192</v>
      </c>
      <c r="BO24" s="3" t="s">
        <v>192</v>
      </c>
      <c r="BP24" s="3" t="s">
        <v>192</v>
      </c>
      <c r="BQ24" s="3" t="s">
        <v>192</v>
      </c>
      <c r="BR24" s="3" t="s">
        <v>192</v>
      </c>
      <c r="BS24" s="3">
        <v>1</v>
      </c>
      <c r="BT24" s="3" t="s">
        <v>192</v>
      </c>
      <c r="BU24" s="3" t="s">
        <v>192</v>
      </c>
      <c r="BV24" s="3" t="s">
        <v>192</v>
      </c>
      <c r="BW24" s="3" t="s">
        <v>192</v>
      </c>
      <c r="BX24" s="3" t="s">
        <v>192</v>
      </c>
      <c r="BY24" s="3" t="s">
        <v>192</v>
      </c>
      <c r="BZ24" s="3" t="s">
        <v>192</v>
      </c>
      <c r="CA24" s="3" t="s">
        <v>192</v>
      </c>
      <c r="CB24" s="3" t="s">
        <v>192</v>
      </c>
      <c r="CC24" s="3" t="s">
        <v>192</v>
      </c>
      <c r="CD24" s="3" t="s">
        <v>192</v>
      </c>
      <c r="CE24" s="3" t="s">
        <v>192</v>
      </c>
      <c r="CF24" s="3" t="s">
        <v>192</v>
      </c>
      <c r="CG24" s="3">
        <v>5</v>
      </c>
      <c r="CH24" s="3" t="s">
        <v>192</v>
      </c>
      <c r="CI24" s="3" t="s">
        <v>192</v>
      </c>
      <c r="CJ24" s="3" t="s">
        <v>192</v>
      </c>
      <c r="CK24" s="3" t="s">
        <v>192</v>
      </c>
      <c r="CL24" s="3" t="s">
        <v>192</v>
      </c>
      <c r="CM24" s="3" t="s">
        <v>192</v>
      </c>
      <c r="CN24" s="3" t="s">
        <v>192</v>
      </c>
      <c r="CO24" s="3" t="s">
        <v>192</v>
      </c>
      <c r="CP24" s="3" t="s">
        <v>192</v>
      </c>
      <c r="CQ24" s="3" t="s">
        <v>192</v>
      </c>
      <c r="CR24" s="3" t="s">
        <v>192</v>
      </c>
      <c r="CS24" s="3" t="s">
        <v>192</v>
      </c>
      <c r="CT24" s="1">
        <f>SUM(Table7[[#This Row],[Acyl_amino_acids]:[T3PKS]])</f>
        <v>11</v>
      </c>
      <c r="CU24" s="3" t="s">
        <v>218</v>
      </c>
      <c r="CW24" s="1">
        <f>Table7[[#This Row],[NRPS]]</f>
        <v>3</v>
      </c>
      <c r="CX24" s="1">
        <f>SUM(CP24,CR24,CS24,Table7[[#This Row],[T1PKS, T3PKS]])</f>
        <v>0</v>
      </c>
      <c r="CY24" s="1">
        <f t="shared" si="0"/>
        <v>1</v>
      </c>
      <c r="CZ24" s="1">
        <f>Table7[[#This Row],[Terpene]]</f>
        <v>5</v>
      </c>
      <c r="DA24" s="1">
        <f>SUM(Table7[[#This Row],[Thiopeptide]],BH24,BF24,BE24,BC24,AZ24,AX24,AW24,AJ24,AH24,N24,L24,J24,H24,I24,K24,R24,Q24,Table7[[#This Row],[Cyanobactin, LAP]])</f>
        <v>1</v>
      </c>
      <c r="DB24" s="1">
        <f>SUM(CO24,CN24,CL24,CK24,CJ24,CI24,CH24,CF24,CE24,CD24,CB24,CA24,BZ24,BY24,BX24,BW24,BV24,BT24,BR24,BQ24,BP24,BO24,BM24,BK24,BJ24,BI24,BG24,BD24,BB24,BA24,AY24,AV24,AU24,AT24,AS24,AR24,AQ24,AP24,AO24,AN24,AM24,AL24,AK24,AG24,AF24,AE24,AD24,AC24,AB24,AA24,Z24,Y24,X24,W24,V24,U24,T24,S24,P24,O24,M24,Table7[[#This Row],[Acyl_amino_acids]],E24,F24,G24,)</f>
        <v>1</v>
      </c>
    </row>
    <row r="25" spans="1:106" x14ac:dyDescent="0.25">
      <c r="A25" s="9" t="s">
        <v>699</v>
      </c>
      <c r="B25" s="1" t="s">
        <v>435</v>
      </c>
      <c r="C25" s="1" t="s">
        <v>250</v>
      </c>
      <c r="D25" s="1" t="s">
        <v>192</v>
      </c>
      <c r="E25" s="1" t="s">
        <v>192</v>
      </c>
      <c r="F25" s="1" t="s">
        <v>192</v>
      </c>
      <c r="G25" s="1" t="s">
        <v>192</v>
      </c>
      <c r="H25" s="1" t="s">
        <v>192</v>
      </c>
      <c r="I25" s="1" t="s">
        <v>192</v>
      </c>
      <c r="J25" s="1" t="s">
        <v>192</v>
      </c>
      <c r="K25" s="1" t="s">
        <v>192</v>
      </c>
      <c r="L25" s="1" t="s">
        <v>192</v>
      </c>
      <c r="M25" s="1" t="s">
        <v>192</v>
      </c>
      <c r="N25" s="1" t="s">
        <v>192</v>
      </c>
      <c r="O25" s="1" t="s">
        <v>192</v>
      </c>
      <c r="P25" s="1" t="s">
        <v>192</v>
      </c>
      <c r="Q25" s="1" t="s">
        <v>192</v>
      </c>
      <c r="R25" s="1" t="s">
        <v>192</v>
      </c>
      <c r="S25" s="1" t="s">
        <v>192</v>
      </c>
      <c r="T25" s="1" t="s">
        <v>192</v>
      </c>
      <c r="U25" s="1" t="s">
        <v>192</v>
      </c>
      <c r="V25" s="1" t="s">
        <v>192</v>
      </c>
      <c r="W25" s="1" t="s">
        <v>192</v>
      </c>
      <c r="X25" s="1" t="s">
        <v>192</v>
      </c>
      <c r="Y25" s="1" t="s">
        <v>192</v>
      </c>
      <c r="Z25" s="1" t="s">
        <v>192</v>
      </c>
      <c r="AA25" s="1" t="s">
        <v>192</v>
      </c>
      <c r="AB25" s="1" t="s">
        <v>192</v>
      </c>
      <c r="AC25" s="1" t="s">
        <v>192</v>
      </c>
      <c r="AD25" s="1" t="s">
        <v>192</v>
      </c>
      <c r="AE25" s="1" t="s">
        <v>192</v>
      </c>
      <c r="AF25" s="1" t="s">
        <v>192</v>
      </c>
      <c r="AG25" s="1" t="s">
        <v>192</v>
      </c>
      <c r="AH25" s="1" t="s">
        <v>192</v>
      </c>
      <c r="AI25" s="1" t="s">
        <v>192</v>
      </c>
      <c r="AJ25" s="1" t="s">
        <v>192</v>
      </c>
      <c r="AK25" s="1" t="s">
        <v>192</v>
      </c>
      <c r="AL25" s="1" t="s">
        <v>192</v>
      </c>
      <c r="AM25" s="1" t="s">
        <v>192</v>
      </c>
      <c r="AN25" s="1" t="s">
        <v>192</v>
      </c>
      <c r="AO25" s="1" t="s">
        <v>192</v>
      </c>
      <c r="AP25" s="1" t="s">
        <v>192</v>
      </c>
      <c r="AQ25" s="1" t="s">
        <v>192</v>
      </c>
      <c r="AR25" s="1" t="s">
        <v>192</v>
      </c>
      <c r="AS25" s="1" t="s">
        <v>192</v>
      </c>
      <c r="AT25" s="1" t="s">
        <v>192</v>
      </c>
      <c r="AU25" s="1" t="s">
        <v>192</v>
      </c>
      <c r="AV25" s="1" t="s">
        <v>192</v>
      </c>
      <c r="AW25" s="1" t="s">
        <v>192</v>
      </c>
      <c r="AX25" s="1" t="s">
        <v>192</v>
      </c>
      <c r="AY25" s="1" t="s">
        <v>192</v>
      </c>
      <c r="AZ25" s="1" t="s">
        <v>192</v>
      </c>
      <c r="BA25" s="1" t="s">
        <v>192</v>
      </c>
      <c r="BB25" s="1" t="s">
        <v>192</v>
      </c>
      <c r="BC25" s="1" t="s">
        <v>192</v>
      </c>
      <c r="BD25" s="1" t="s">
        <v>192</v>
      </c>
      <c r="BE25" s="1" t="s">
        <v>192</v>
      </c>
      <c r="BF25" s="1" t="s">
        <v>192</v>
      </c>
      <c r="BG25" s="1" t="s">
        <v>192</v>
      </c>
      <c r="BH25" s="1" t="s">
        <v>192</v>
      </c>
      <c r="BI25" s="1" t="s">
        <v>192</v>
      </c>
      <c r="BJ25" s="1" t="s">
        <v>192</v>
      </c>
      <c r="BK25" s="1" t="s">
        <v>192</v>
      </c>
      <c r="BL25" s="1" t="s">
        <v>192</v>
      </c>
      <c r="BM25" s="1" t="s">
        <v>192</v>
      </c>
      <c r="BN25" s="1" t="s">
        <v>192</v>
      </c>
      <c r="BO25" s="1" t="s">
        <v>192</v>
      </c>
      <c r="BP25" s="1" t="s">
        <v>192</v>
      </c>
      <c r="BQ25" s="1" t="s">
        <v>192</v>
      </c>
      <c r="BR25" s="1" t="s">
        <v>192</v>
      </c>
      <c r="BS25" s="1" t="s">
        <v>192</v>
      </c>
      <c r="BT25" s="1" t="s">
        <v>192</v>
      </c>
      <c r="BU25" s="1" t="s">
        <v>192</v>
      </c>
      <c r="BV25" s="1" t="s">
        <v>192</v>
      </c>
      <c r="BW25" s="1" t="s">
        <v>192</v>
      </c>
      <c r="BX25" s="1" t="s">
        <v>192</v>
      </c>
      <c r="BY25" s="1" t="s">
        <v>192</v>
      </c>
      <c r="BZ25" s="1" t="s">
        <v>192</v>
      </c>
      <c r="CA25" s="1" t="s">
        <v>192</v>
      </c>
      <c r="CB25" s="1" t="s">
        <v>192</v>
      </c>
      <c r="CC25" s="1" t="s">
        <v>192</v>
      </c>
      <c r="CD25" s="1" t="s">
        <v>192</v>
      </c>
      <c r="CE25" s="1" t="s">
        <v>192</v>
      </c>
      <c r="CF25" s="1" t="s">
        <v>192</v>
      </c>
      <c r="CG25" s="1">
        <v>3</v>
      </c>
      <c r="CH25" s="1" t="s">
        <v>192</v>
      </c>
      <c r="CI25" s="1" t="s">
        <v>192</v>
      </c>
      <c r="CJ25" s="1" t="s">
        <v>192</v>
      </c>
      <c r="CK25" s="1" t="s">
        <v>192</v>
      </c>
      <c r="CL25" s="1" t="s">
        <v>192</v>
      </c>
      <c r="CM25" s="1" t="s">
        <v>192</v>
      </c>
      <c r="CN25" s="1" t="s">
        <v>192</v>
      </c>
      <c r="CO25" s="1" t="s">
        <v>192</v>
      </c>
      <c r="CP25" s="1" t="s">
        <v>192</v>
      </c>
      <c r="CQ25" s="1" t="s">
        <v>192</v>
      </c>
      <c r="CR25" s="1" t="s">
        <v>192</v>
      </c>
      <c r="CS25" s="1" t="s">
        <v>192</v>
      </c>
      <c r="CT25" s="1">
        <f>SUM(Table7[[#This Row],[Acyl_amino_acids]:[T3PKS]])</f>
        <v>3</v>
      </c>
      <c r="CU25" s="1" t="s">
        <v>192</v>
      </c>
      <c r="CW25" s="1" t="str">
        <f>Table7[[#This Row],[NRPS]]</f>
        <v>-</v>
      </c>
      <c r="CX25" s="1">
        <f>SUM(CP25,CR25,CS25,Table7[[#This Row],[T1PKS, T3PKS]])</f>
        <v>0</v>
      </c>
      <c r="CY25" s="1">
        <f t="shared" si="0"/>
        <v>0</v>
      </c>
      <c r="CZ25" s="1">
        <f>Table7[[#This Row],[Terpene]]</f>
        <v>3</v>
      </c>
      <c r="DA25" s="1">
        <f>SUM(Table7[[#This Row],[Thiopeptide]],BH25,BF25,BE25,BC25,AZ25,AX25,AW25,AJ25,AH25,N25,L25,J25,H25,I25,K25,R25,Q25,Table7[[#This Row],[Cyanobactin, LAP]])</f>
        <v>0</v>
      </c>
      <c r="DB25" s="1">
        <f>SUM(CO25,CN25,CL25,CK25,CJ25,CI25,CH25,CF25,CE25,CD25,CB25,CA25,BZ25,BY25,BX25,BW25,BV25,BT25,BR25,BQ25,BP25,BO25,BM25,BK25,BJ25,BI25,BG25,BD25,BB25,BA25,AY25,AV25,AU25,AT25,AS25,AR25,AQ25,AP25,AO25,AN25,AM25,AL25,AK25,AG25,AF25,AE25,AD25,AC25,AB25,AA25,Z25,Y25,X25,W25,V25,U25,T25,S25,P25,O25,M25,Table7[[#This Row],[Acyl_amino_acids]],E25,F25,G25,)</f>
        <v>0</v>
      </c>
    </row>
    <row r="26" spans="1:106" x14ac:dyDescent="0.25">
      <c r="A26" s="9" t="s">
        <v>63</v>
      </c>
      <c r="B26" s="1" t="s">
        <v>435</v>
      </c>
      <c r="C26" s="1" t="s">
        <v>251</v>
      </c>
      <c r="D26" s="1" t="s">
        <v>192</v>
      </c>
      <c r="E26" s="3" t="s">
        <v>192</v>
      </c>
      <c r="F26" s="3">
        <v>1</v>
      </c>
      <c r="G26" s="3" t="s">
        <v>192</v>
      </c>
      <c r="H26" s="3" t="s">
        <v>192</v>
      </c>
      <c r="I26" s="3" t="s">
        <v>192</v>
      </c>
      <c r="J26" s="3" t="s">
        <v>192</v>
      </c>
      <c r="K26" s="3" t="s">
        <v>192</v>
      </c>
      <c r="L26" s="3" t="s">
        <v>192</v>
      </c>
      <c r="M26" s="3" t="s">
        <v>192</v>
      </c>
      <c r="N26" s="3" t="s">
        <v>192</v>
      </c>
      <c r="O26" s="3" t="s">
        <v>192</v>
      </c>
      <c r="P26" s="3" t="s">
        <v>192</v>
      </c>
      <c r="Q26" s="3" t="s">
        <v>192</v>
      </c>
      <c r="R26" s="3" t="s">
        <v>192</v>
      </c>
      <c r="S26" s="3" t="s">
        <v>192</v>
      </c>
      <c r="T26" s="3" t="s">
        <v>192</v>
      </c>
      <c r="U26" s="3" t="s">
        <v>192</v>
      </c>
      <c r="V26" s="3" t="s">
        <v>192</v>
      </c>
      <c r="W26" s="3" t="s">
        <v>192</v>
      </c>
      <c r="X26" s="3" t="s">
        <v>192</v>
      </c>
      <c r="Y26" s="3" t="s">
        <v>192</v>
      </c>
      <c r="Z26" s="3" t="s">
        <v>192</v>
      </c>
      <c r="AA26" s="3" t="s">
        <v>192</v>
      </c>
      <c r="AB26" s="3" t="s">
        <v>192</v>
      </c>
      <c r="AC26" s="3" t="s">
        <v>192</v>
      </c>
      <c r="AD26" s="3" t="s">
        <v>192</v>
      </c>
      <c r="AE26" s="3" t="s">
        <v>192</v>
      </c>
      <c r="AF26" s="3" t="s">
        <v>192</v>
      </c>
      <c r="AG26" s="3" t="s">
        <v>192</v>
      </c>
      <c r="AH26" s="3" t="s">
        <v>192</v>
      </c>
      <c r="AI26" s="3" t="s">
        <v>192</v>
      </c>
      <c r="AJ26" s="3" t="s">
        <v>192</v>
      </c>
      <c r="AK26" s="3" t="s">
        <v>192</v>
      </c>
      <c r="AL26" s="3" t="s">
        <v>192</v>
      </c>
      <c r="AM26" s="3" t="s">
        <v>192</v>
      </c>
      <c r="AN26" s="3" t="s">
        <v>192</v>
      </c>
      <c r="AO26" s="3" t="s">
        <v>192</v>
      </c>
      <c r="AP26" s="3" t="s">
        <v>192</v>
      </c>
      <c r="AQ26" s="3" t="s">
        <v>192</v>
      </c>
      <c r="AR26" s="3" t="s">
        <v>192</v>
      </c>
      <c r="AS26" s="3" t="s">
        <v>192</v>
      </c>
      <c r="AT26" s="3" t="s">
        <v>192</v>
      </c>
      <c r="AU26" s="3" t="s">
        <v>192</v>
      </c>
      <c r="AV26" s="3" t="s">
        <v>192</v>
      </c>
      <c r="AW26" s="3" t="s">
        <v>192</v>
      </c>
      <c r="AX26" s="3" t="s">
        <v>192</v>
      </c>
      <c r="AY26" s="3" t="s">
        <v>192</v>
      </c>
      <c r="AZ26" s="3" t="s">
        <v>192</v>
      </c>
      <c r="BA26" s="3" t="s">
        <v>192</v>
      </c>
      <c r="BB26" s="3" t="s">
        <v>192</v>
      </c>
      <c r="BC26" s="3" t="s">
        <v>192</v>
      </c>
      <c r="BD26" s="3" t="s">
        <v>192</v>
      </c>
      <c r="BE26" s="3" t="s">
        <v>192</v>
      </c>
      <c r="BF26" s="3" t="s">
        <v>192</v>
      </c>
      <c r="BG26" s="3" t="s">
        <v>192</v>
      </c>
      <c r="BH26" s="3" t="s">
        <v>192</v>
      </c>
      <c r="BI26" s="3" t="s">
        <v>192</v>
      </c>
      <c r="BJ26" s="3" t="s">
        <v>192</v>
      </c>
      <c r="BK26" s="3" t="s">
        <v>192</v>
      </c>
      <c r="BL26" s="3" t="s">
        <v>192</v>
      </c>
      <c r="BM26" s="3" t="s">
        <v>192</v>
      </c>
      <c r="BN26" s="3" t="s">
        <v>192</v>
      </c>
      <c r="BO26" s="3" t="s">
        <v>192</v>
      </c>
      <c r="BP26" s="3" t="s">
        <v>192</v>
      </c>
      <c r="BQ26" s="3" t="s">
        <v>192</v>
      </c>
      <c r="BR26" s="3" t="s">
        <v>192</v>
      </c>
      <c r="BS26" s="3" t="s">
        <v>192</v>
      </c>
      <c r="BT26" s="3" t="s">
        <v>192</v>
      </c>
      <c r="BU26" s="3" t="s">
        <v>192</v>
      </c>
      <c r="BV26" s="3" t="s">
        <v>192</v>
      </c>
      <c r="BW26" s="3" t="s">
        <v>192</v>
      </c>
      <c r="BX26" s="3" t="s">
        <v>192</v>
      </c>
      <c r="BY26" s="3" t="s">
        <v>192</v>
      </c>
      <c r="BZ26" s="3" t="s">
        <v>192</v>
      </c>
      <c r="CA26" s="3" t="s">
        <v>192</v>
      </c>
      <c r="CB26" s="3" t="s">
        <v>192</v>
      </c>
      <c r="CC26" s="3" t="s">
        <v>192</v>
      </c>
      <c r="CD26" s="3" t="s">
        <v>192</v>
      </c>
      <c r="CE26" s="3" t="s">
        <v>192</v>
      </c>
      <c r="CF26" s="3" t="s">
        <v>192</v>
      </c>
      <c r="CG26" s="3" t="s">
        <v>192</v>
      </c>
      <c r="CH26" s="3" t="s">
        <v>192</v>
      </c>
      <c r="CI26" s="3" t="s">
        <v>192</v>
      </c>
      <c r="CJ26" s="3" t="s">
        <v>192</v>
      </c>
      <c r="CK26" s="3" t="s">
        <v>192</v>
      </c>
      <c r="CL26" s="3" t="s">
        <v>192</v>
      </c>
      <c r="CM26" s="3" t="s">
        <v>192</v>
      </c>
      <c r="CN26" s="3" t="s">
        <v>192</v>
      </c>
      <c r="CO26" s="3" t="s">
        <v>192</v>
      </c>
      <c r="CP26" s="3" t="s">
        <v>192</v>
      </c>
      <c r="CQ26" s="3" t="s">
        <v>192</v>
      </c>
      <c r="CR26" s="3" t="s">
        <v>192</v>
      </c>
      <c r="CS26" s="3" t="s">
        <v>192</v>
      </c>
      <c r="CT26" s="1">
        <f>SUM(Table7[[#This Row],[Acyl_amino_acids]:[T3PKS]])</f>
        <v>1</v>
      </c>
      <c r="CU26" s="3" t="s">
        <v>192</v>
      </c>
      <c r="CW26" s="1" t="str">
        <f>Table7[[#This Row],[NRPS]]</f>
        <v>-</v>
      </c>
      <c r="CX26" s="1">
        <f>SUM(CP26,CR26,CS26,Table7[[#This Row],[T1PKS, T3PKS]])</f>
        <v>0</v>
      </c>
      <c r="CY26" s="1">
        <f t="shared" si="0"/>
        <v>0</v>
      </c>
      <c r="CZ26" s="1" t="str">
        <f>Table7[[#This Row],[Terpene]]</f>
        <v>-</v>
      </c>
      <c r="DA26" s="1">
        <f>SUM(Table7[[#This Row],[Thiopeptide]],BH26,BF26,BE26,BC26,AZ26,AX26,AW26,AJ26,AH26,N26,L26,J26,H26,I26,K26,R26,Q26,Table7[[#This Row],[Cyanobactin, LAP]])</f>
        <v>0</v>
      </c>
      <c r="DB26" s="1">
        <f>SUM(CO26,CN26,CL26,CK26,CJ26,CI26,CH26,CF26,CE26,CD26,CB26,CA26,BZ26,BY26,BX26,BW26,BV26,BT26,BR26,BQ26,BP26,BO26,BM26,BK26,BJ26,BI26,BG26,BD26,BB26,BA26,AY26,AV26,AU26,AT26,AS26,AR26,AQ26,AP26,AO26,AN26,AM26,AL26,AK26,AG26,AF26,AE26,AD26,AC26,AB26,AA26,Z26,Y26,X26,W26,V26,U26,T26,S26,P26,O26,M26,Table7[[#This Row],[Acyl_amino_acids]],E26,F26,G26,)</f>
        <v>1</v>
      </c>
    </row>
    <row r="27" spans="1:106" x14ac:dyDescent="0.25">
      <c r="A27" s="9" t="s">
        <v>717</v>
      </c>
      <c r="B27" s="1" t="s">
        <v>435</v>
      </c>
      <c r="C27" s="1" t="s">
        <v>252</v>
      </c>
      <c r="D27" s="1" t="s">
        <v>192</v>
      </c>
      <c r="E27" s="1" t="s">
        <v>192</v>
      </c>
      <c r="F27" s="3" t="s">
        <v>192</v>
      </c>
      <c r="G27" s="3" t="s">
        <v>192</v>
      </c>
      <c r="H27" s="3">
        <v>6</v>
      </c>
      <c r="I27" s="3" t="s">
        <v>192</v>
      </c>
      <c r="J27" s="3" t="s">
        <v>192</v>
      </c>
      <c r="K27" s="3" t="s">
        <v>192</v>
      </c>
      <c r="L27" s="3">
        <v>1</v>
      </c>
      <c r="M27" s="3" t="s">
        <v>192</v>
      </c>
      <c r="N27" s="3" t="s">
        <v>192</v>
      </c>
      <c r="O27" s="3" t="s">
        <v>192</v>
      </c>
      <c r="P27" s="3" t="s">
        <v>192</v>
      </c>
      <c r="Q27" s="3" t="s">
        <v>192</v>
      </c>
      <c r="R27" s="3" t="s">
        <v>192</v>
      </c>
      <c r="S27" s="3" t="s">
        <v>192</v>
      </c>
      <c r="T27" s="3" t="s">
        <v>192</v>
      </c>
      <c r="U27" s="3" t="s">
        <v>192</v>
      </c>
      <c r="V27" s="3" t="s">
        <v>192</v>
      </c>
      <c r="W27" s="3" t="s">
        <v>192</v>
      </c>
      <c r="X27" s="3" t="s">
        <v>192</v>
      </c>
      <c r="Y27" s="3" t="s">
        <v>192</v>
      </c>
      <c r="Z27" s="3" t="s">
        <v>192</v>
      </c>
      <c r="AA27" s="3" t="s">
        <v>192</v>
      </c>
      <c r="AB27" s="3" t="s">
        <v>192</v>
      </c>
      <c r="AC27" s="3" t="s">
        <v>192</v>
      </c>
      <c r="AD27" s="3" t="s">
        <v>192</v>
      </c>
      <c r="AE27" s="3" t="s">
        <v>192</v>
      </c>
      <c r="AF27" s="3" t="s">
        <v>192</v>
      </c>
      <c r="AG27" s="3" t="s">
        <v>192</v>
      </c>
      <c r="AH27" s="3" t="s">
        <v>192</v>
      </c>
      <c r="AI27" s="3" t="s">
        <v>192</v>
      </c>
      <c r="AJ27" s="3" t="s">
        <v>192</v>
      </c>
      <c r="AK27" s="3" t="s">
        <v>192</v>
      </c>
      <c r="AL27" s="3" t="s">
        <v>192</v>
      </c>
      <c r="AM27" s="3" t="s">
        <v>192</v>
      </c>
      <c r="AN27" s="3" t="s">
        <v>192</v>
      </c>
      <c r="AO27" s="3" t="s">
        <v>192</v>
      </c>
      <c r="AP27" s="3" t="s">
        <v>192</v>
      </c>
      <c r="AQ27" s="3" t="s">
        <v>192</v>
      </c>
      <c r="AR27" s="3" t="s">
        <v>192</v>
      </c>
      <c r="AS27" s="3" t="s">
        <v>192</v>
      </c>
      <c r="AT27" s="3">
        <v>1</v>
      </c>
      <c r="AU27" s="3">
        <v>1</v>
      </c>
      <c r="AV27" s="3" t="s">
        <v>192</v>
      </c>
      <c r="AW27" s="3" t="s">
        <v>192</v>
      </c>
      <c r="AX27" s="3" t="s">
        <v>192</v>
      </c>
      <c r="AY27" s="3" t="s">
        <v>192</v>
      </c>
      <c r="AZ27" s="3" t="s">
        <v>192</v>
      </c>
      <c r="BA27" s="3" t="s">
        <v>192</v>
      </c>
      <c r="BB27" s="3" t="s">
        <v>192</v>
      </c>
      <c r="BC27" s="3" t="s">
        <v>192</v>
      </c>
      <c r="BD27" s="3" t="s">
        <v>192</v>
      </c>
      <c r="BE27" s="3" t="s">
        <v>192</v>
      </c>
      <c r="BF27" s="3" t="s">
        <v>192</v>
      </c>
      <c r="BG27" s="3" t="s">
        <v>192</v>
      </c>
      <c r="BH27" s="3" t="s">
        <v>192</v>
      </c>
      <c r="BI27" s="3">
        <v>1</v>
      </c>
      <c r="BJ27" s="3" t="s">
        <v>192</v>
      </c>
      <c r="BK27" s="3" t="s">
        <v>192</v>
      </c>
      <c r="BL27" s="3">
        <v>1</v>
      </c>
      <c r="BM27" s="3" t="s">
        <v>192</v>
      </c>
      <c r="BN27" s="3" t="s">
        <v>192</v>
      </c>
      <c r="BO27" s="3" t="s">
        <v>192</v>
      </c>
      <c r="BP27" s="3" t="s">
        <v>192</v>
      </c>
      <c r="BQ27" s="3" t="s">
        <v>192</v>
      </c>
      <c r="BR27" s="3" t="s">
        <v>192</v>
      </c>
      <c r="BS27" s="3">
        <v>2</v>
      </c>
      <c r="BT27" s="3" t="s">
        <v>192</v>
      </c>
      <c r="BU27" s="3" t="s">
        <v>192</v>
      </c>
      <c r="BV27" s="3" t="s">
        <v>192</v>
      </c>
      <c r="BW27" s="3" t="s">
        <v>192</v>
      </c>
      <c r="BX27" s="3" t="s">
        <v>192</v>
      </c>
      <c r="BY27" s="3" t="s">
        <v>192</v>
      </c>
      <c r="BZ27" s="3" t="s">
        <v>192</v>
      </c>
      <c r="CA27" s="3" t="s">
        <v>192</v>
      </c>
      <c r="CB27" s="3" t="s">
        <v>192</v>
      </c>
      <c r="CC27" s="3" t="s">
        <v>192</v>
      </c>
      <c r="CD27" s="3" t="s">
        <v>192</v>
      </c>
      <c r="CE27" s="3" t="s">
        <v>192</v>
      </c>
      <c r="CF27" s="3" t="s">
        <v>192</v>
      </c>
      <c r="CG27" s="3">
        <v>2</v>
      </c>
      <c r="CH27" s="3" t="s">
        <v>192</v>
      </c>
      <c r="CI27" s="3" t="s">
        <v>192</v>
      </c>
      <c r="CJ27" s="3" t="s">
        <v>192</v>
      </c>
      <c r="CK27" s="3" t="s">
        <v>192</v>
      </c>
      <c r="CL27" s="3" t="s">
        <v>192</v>
      </c>
      <c r="CM27" s="3" t="s">
        <v>192</v>
      </c>
      <c r="CN27" s="3" t="s">
        <v>192</v>
      </c>
      <c r="CO27" s="3" t="s">
        <v>192</v>
      </c>
      <c r="CP27" s="3" t="s">
        <v>192</v>
      </c>
      <c r="CQ27" s="3" t="s">
        <v>192</v>
      </c>
      <c r="CR27" s="3" t="s">
        <v>192</v>
      </c>
      <c r="CS27" s="3">
        <v>1</v>
      </c>
      <c r="CT27" s="1">
        <f>SUM(Table7[[#This Row],[Acyl_amino_acids]:[T3PKS]])</f>
        <v>16</v>
      </c>
      <c r="CU27" s="3" t="s">
        <v>192</v>
      </c>
      <c r="CW27" s="1">
        <f>Table7[[#This Row],[NRPS]]</f>
        <v>1</v>
      </c>
      <c r="CX27" s="1">
        <f>SUM(CP27,CR27,CS27,Table7[[#This Row],[T1PKS, T3PKS]])</f>
        <v>1</v>
      </c>
      <c r="CY27" s="1">
        <f t="shared" si="0"/>
        <v>2</v>
      </c>
      <c r="CZ27" s="1">
        <f>Table7[[#This Row],[Terpene]]</f>
        <v>2</v>
      </c>
      <c r="DA27" s="1">
        <f>SUM(Table7[[#This Row],[Thiopeptide]],BH27,BF27,BE27,BC27,AZ27,AX27,AW27,AJ27,AH27,N27,L27,J27,H27,I27,K27,R27,Q27,Table7[[#This Row],[Cyanobactin, LAP]])</f>
        <v>7</v>
      </c>
      <c r="DB27" s="1">
        <f>SUM(CO27,CN27,CL27,CK27,CJ27,CI27,CH27,CF27,CE27,CD27,CB27,CA27,BZ27,BY27,BX27,BW27,BV27,BT27,BR27,BQ27,BP27,BO27,BM27,BK27,BJ27,BI27,BG27,BD27,BB27,BA27,AY27,AV27,AU27,AT27,AS27,AR27,AQ27,AP27,AO27,AN27,AM27,AL27,AK27,AG27,AF27,AE27,AD27,AC27,AB27,AA27,Z27,Y27,X27,W27,V27,U27,T27,S27,P27,O27,M27,Table7[[#This Row],[Acyl_amino_acids]],E27,F27,G27,)</f>
        <v>3</v>
      </c>
    </row>
    <row r="28" spans="1:106" x14ac:dyDescent="0.25">
      <c r="A28" s="9" t="s">
        <v>774</v>
      </c>
      <c r="B28" s="1" t="s">
        <v>435</v>
      </c>
      <c r="C28" s="1" t="s">
        <v>253</v>
      </c>
      <c r="D28" s="3" t="s">
        <v>192</v>
      </c>
      <c r="E28" s="3" t="s">
        <v>192</v>
      </c>
      <c r="F28" s="3" t="s">
        <v>192</v>
      </c>
      <c r="G28" s="3" t="s">
        <v>192</v>
      </c>
      <c r="H28" s="3">
        <v>1</v>
      </c>
      <c r="I28" s="3" t="s">
        <v>192</v>
      </c>
      <c r="J28" s="3" t="s">
        <v>192</v>
      </c>
      <c r="K28" s="3" t="s">
        <v>192</v>
      </c>
      <c r="L28" s="3" t="s">
        <v>192</v>
      </c>
      <c r="M28" s="3" t="s">
        <v>192</v>
      </c>
      <c r="N28" s="3" t="s">
        <v>192</v>
      </c>
      <c r="O28" s="3" t="s">
        <v>192</v>
      </c>
      <c r="P28" s="3" t="s">
        <v>192</v>
      </c>
      <c r="Q28" s="3" t="s">
        <v>192</v>
      </c>
      <c r="R28" s="3" t="s">
        <v>192</v>
      </c>
      <c r="S28" s="3" t="s">
        <v>192</v>
      </c>
      <c r="T28" s="3" t="s">
        <v>192</v>
      </c>
      <c r="U28" s="3" t="s">
        <v>192</v>
      </c>
      <c r="V28" s="3" t="s">
        <v>192</v>
      </c>
      <c r="W28" s="3" t="s">
        <v>192</v>
      </c>
      <c r="X28" s="3" t="s">
        <v>192</v>
      </c>
      <c r="Y28" s="3" t="s">
        <v>192</v>
      </c>
      <c r="Z28" s="3" t="s">
        <v>192</v>
      </c>
      <c r="AA28" s="3" t="s">
        <v>192</v>
      </c>
      <c r="AB28" s="3" t="s">
        <v>192</v>
      </c>
      <c r="AC28" s="3" t="s">
        <v>192</v>
      </c>
      <c r="AD28" s="3" t="s">
        <v>192</v>
      </c>
      <c r="AE28" s="3" t="s">
        <v>192</v>
      </c>
      <c r="AF28" s="3" t="s">
        <v>192</v>
      </c>
      <c r="AG28" s="3" t="s">
        <v>192</v>
      </c>
      <c r="AH28" s="3" t="s">
        <v>192</v>
      </c>
      <c r="AI28" s="3" t="s">
        <v>192</v>
      </c>
      <c r="AJ28" s="3" t="s">
        <v>192</v>
      </c>
      <c r="AK28" s="3" t="s">
        <v>192</v>
      </c>
      <c r="AL28" s="3" t="s">
        <v>192</v>
      </c>
      <c r="AM28" s="3" t="s">
        <v>192</v>
      </c>
      <c r="AN28" s="3" t="s">
        <v>192</v>
      </c>
      <c r="AO28" s="3" t="s">
        <v>192</v>
      </c>
      <c r="AP28" s="3" t="s">
        <v>192</v>
      </c>
      <c r="AQ28" s="3" t="s">
        <v>192</v>
      </c>
      <c r="AR28" s="3" t="s">
        <v>192</v>
      </c>
      <c r="AS28" s="3" t="s">
        <v>192</v>
      </c>
      <c r="AT28" s="3" t="s">
        <v>192</v>
      </c>
      <c r="AU28" s="3" t="s">
        <v>192</v>
      </c>
      <c r="AV28" s="3">
        <v>1</v>
      </c>
      <c r="AW28" s="3" t="s">
        <v>192</v>
      </c>
      <c r="AX28" s="3" t="s">
        <v>192</v>
      </c>
      <c r="AY28" s="3" t="s">
        <v>192</v>
      </c>
      <c r="AZ28" s="3" t="s">
        <v>192</v>
      </c>
      <c r="BA28" s="3" t="s">
        <v>192</v>
      </c>
      <c r="BB28" s="3" t="s">
        <v>192</v>
      </c>
      <c r="BC28" s="3" t="s">
        <v>192</v>
      </c>
      <c r="BD28" s="3" t="s">
        <v>192</v>
      </c>
      <c r="BE28" s="3" t="s">
        <v>192</v>
      </c>
      <c r="BF28" s="3">
        <v>1</v>
      </c>
      <c r="BG28" s="3" t="s">
        <v>192</v>
      </c>
      <c r="BH28" s="3" t="s">
        <v>192</v>
      </c>
      <c r="BI28" s="3" t="s">
        <v>192</v>
      </c>
      <c r="BJ28" s="3" t="s">
        <v>192</v>
      </c>
      <c r="BK28" s="3" t="s">
        <v>192</v>
      </c>
      <c r="BL28" s="3">
        <v>4</v>
      </c>
      <c r="BM28" s="3" t="s">
        <v>192</v>
      </c>
      <c r="BN28" s="3" t="s">
        <v>192</v>
      </c>
      <c r="BO28" s="3" t="s">
        <v>192</v>
      </c>
      <c r="BP28" s="3" t="s">
        <v>192</v>
      </c>
      <c r="BQ28" s="3" t="s">
        <v>192</v>
      </c>
      <c r="BR28" s="3" t="s">
        <v>192</v>
      </c>
      <c r="BS28" s="3">
        <v>1</v>
      </c>
      <c r="BT28" s="3" t="s">
        <v>192</v>
      </c>
      <c r="BU28" s="3" t="s">
        <v>192</v>
      </c>
      <c r="BV28" s="3" t="s">
        <v>192</v>
      </c>
      <c r="BW28" s="3" t="s">
        <v>192</v>
      </c>
      <c r="BX28" s="3" t="s">
        <v>192</v>
      </c>
      <c r="BY28" s="3" t="s">
        <v>192</v>
      </c>
      <c r="BZ28" s="3" t="s">
        <v>192</v>
      </c>
      <c r="CA28" s="3" t="s">
        <v>192</v>
      </c>
      <c r="CB28" s="3" t="s">
        <v>192</v>
      </c>
      <c r="CC28" s="3" t="s">
        <v>192</v>
      </c>
      <c r="CD28" s="3" t="s">
        <v>192</v>
      </c>
      <c r="CE28" s="3" t="s">
        <v>192</v>
      </c>
      <c r="CF28" s="3" t="s">
        <v>192</v>
      </c>
      <c r="CG28" s="3">
        <v>1</v>
      </c>
      <c r="CH28" s="3" t="s">
        <v>192</v>
      </c>
      <c r="CI28" s="3" t="s">
        <v>192</v>
      </c>
      <c r="CJ28" s="3" t="s">
        <v>192</v>
      </c>
      <c r="CK28" s="3" t="s">
        <v>192</v>
      </c>
      <c r="CL28" s="3" t="s">
        <v>192</v>
      </c>
      <c r="CM28" s="3" t="s">
        <v>192</v>
      </c>
      <c r="CN28" s="3" t="s">
        <v>192</v>
      </c>
      <c r="CO28" s="3" t="s">
        <v>192</v>
      </c>
      <c r="CP28" s="3">
        <v>1</v>
      </c>
      <c r="CQ28" s="3" t="s">
        <v>192</v>
      </c>
      <c r="CR28" s="3" t="s">
        <v>192</v>
      </c>
      <c r="CS28" s="3" t="s">
        <v>192</v>
      </c>
      <c r="CT28" s="1">
        <f>SUM(Table7[[#This Row],[Acyl_amino_acids]:[T3PKS]])</f>
        <v>10</v>
      </c>
      <c r="CU28" s="3" t="s">
        <v>192</v>
      </c>
      <c r="CW28" s="1">
        <f>Table7[[#This Row],[NRPS]]</f>
        <v>4</v>
      </c>
      <c r="CX28" s="1">
        <f>SUM(CP28,CR28,CS28,Table7[[#This Row],[T1PKS, T3PKS]])</f>
        <v>1</v>
      </c>
      <c r="CY28" s="1">
        <f t="shared" si="0"/>
        <v>1</v>
      </c>
      <c r="CZ28" s="1">
        <f>Table7[[#This Row],[Terpene]]</f>
        <v>1</v>
      </c>
      <c r="DA28" s="1">
        <f>SUM(Table7[[#This Row],[Thiopeptide]],BH28,BF28,BE28,BC28,AZ28,AX28,AW28,AJ28,AH28,N28,L28,J28,H28,I28,K28,R28,Q28,Table7[[#This Row],[Cyanobactin, LAP]])</f>
        <v>2</v>
      </c>
      <c r="DB28" s="1">
        <f>SUM(CO28,CN28,CL28,CK28,CJ28,CI28,CH28,CF28,CE28,CD28,CB28,CA28,BZ28,BY28,BX28,BW28,BV28,BT28,BR28,BQ28,BP28,BO28,BM28,BK28,BJ28,BI28,BG28,BD28,BB28,BA28,AY28,AV28,AU28,AT28,AS28,AR28,AQ28,AP28,AO28,AN28,AM28,AL28,AK28,AG28,AF28,AE28,AD28,AC28,AB28,AA28,Z28,Y28,X28,W28,V28,U28,T28,S28,P28,O28,M28,Table7[[#This Row],[Acyl_amino_acids]],E28,F28,G28,)</f>
        <v>1</v>
      </c>
    </row>
    <row r="29" spans="1:106" x14ac:dyDescent="0.25">
      <c r="A29" s="9" t="s">
        <v>634</v>
      </c>
      <c r="B29" s="1" t="s">
        <v>435</v>
      </c>
      <c r="C29" s="1" t="s">
        <v>254</v>
      </c>
      <c r="D29" s="1" t="s">
        <v>192</v>
      </c>
      <c r="E29" s="1" t="s">
        <v>192</v>
      </c>
      <c r="F29" s="3" t="s">
        <v>192</v>
      </c>
      <c r="G29" s="3" t="s">
        <v>192</v>
      </c>
      <c r="H29" s="3">
        <v>4</v>
      </c>
      <c r="I29" s="3" t="s">
        <v>192</v>
      </c>
      <c r="J29" s="3" t="s">
        <v>192</v>
      </c>
      <c r="K29" s="3" t="s">
        <v>192</v>
      </c>
      <c r="L29" s="3" t="s">
        <v>192</v>
      </c>
      <c r="M29" s="3" t="s">
        <v>192</v>
      </c>
      <c r="N29" s="3" t="s">
        <v>192</v>
      </c>
      <c r="O29" s="3" t="s">
        <v>192</v>
      </c>
      <c r="P29" s="3" t="s">
        <v>192</v>
      </c>
      <c r="Q29" s="3" t="s">
        <v>192</v>
      </c>
      <c r="R29" s="3" t="s">
        <v>192</v>
      </c>
      <c r="S29" s="3" t="s">
        <v>192</v>
      </c>
      <c r="T29" s="3" t="s">
        <v>192</v>
      </c>
      <c r="U29" s="3" t="s">
        <v>192</v>
      </c>
      <c r="V29" s="3" t="s">
        <v>192</v>
      </c>
      <c r="W29" s="3" t="s">
        <v>192</v>
      </c>
      <c r="X29" s="3" t="s">
        <v>192</v>
      </c>
      <c r="Y29" s="3" t="s">
        <v>192</v>
      </c>
      <c r="Z29" s="3" t="s">
        <v>192</v>
      </c>
      <c r="AA29" s="3" t="s">
        <v>192</v>
      </c>
      <c r="AB29" s="3" t="s">
        <v>192</v>
      </c>
      <c r="AC29" s="3" t="s">
        <v>192</v>
      </c>
      <c r="AD29" s="3" t="s">
        <v>192</v>
      </c>
      <c r="AE29" s="3" t="s">
        <v>192</v>
      </c>
      <c r="AF29" s="3" t="s">
        <v>192</v>
      </c>
      <c r="AG29" s="3" t="s">
        <v>192</v>
      </c>
      <c r="AH29" s="3" t="s">
        <v>192</v>
      </c>
      <c r="AI29" s="3" t="s">
        <v>192</v>
      </c>
      <c r="AJ29" s="3" t="s">
        <v>192</v>
      </c>
      <c r="AK29" s="3" t="s">
        <v>192</v>
      </c>
      <c r="AL29" s="3" t="s">
        <v>192</v>
      </c>
      <c r="AM29" s="3" t="s">
        <v>192</v>
      </c>
      <c r="AN29" s="3" t="s">
        <v>192</v>
      </c>
      <c r="AO29" s="3" t="s">
        <v>192</v>
      </c>
      <c r="AP29" s="3" t="s">
        <v>192</v>
      </c>
      <c r="AQ29" s="3" t="s">
        <v>192</v>
      </c>
      <c r="AR29" s="3" t="s">
        <v>192</v>
      </c>
      <c r="AS29" s="3" t="s">
        <v>192</v>
      </c>
      <c r="AT29" s="3" t="s">
        <v>192</v>
      </c>
      <c r="AU29" s="3" t="s">
        <v>192</v>
      </c>
      <c r="AV29" s="3" t="s">
        <v>192</v>
      </c>
      <c r="AW29" s="3" t="s">
        <v>192</v>
      </c>
      <c r="AX29" s="3" t="s">
        <v>192</v>
      </c>
      <c r="AY29" s="3" t="s">
        <v>192</v>
      </c>
      <c r="AZ29" s="3" t="s">
        <v>192</v>
      </c>
      <c r="BA29" s="3" t="s">
        <v>192</v>
      </c>
      <c r="BB29" s="3" t="s">
        <v>192</v>
      </c>
      <c r="BC29" s="3" t="s">
        <v>192</v>
      </c>
      <c r="BD29" s="3" t="s">
        <v>192</v>
      </c>
      <c r="BE29" s="3" t="s">
        <v>192</v>
      </c>
      <c r="BF29" s="3" t="s">
        <v>192</v>
      </c>
      <c r="BG29" s="3" t="s">
        <v>192</v>
      </c>
      <c r="BH29" s="3" t="s">
        <v>192</v>
      </c>
      <c r="BI29" s="3">
        <v>1</v>
      </c>
      <c r="BJ29" s="3" t="s">
        <v>192</v>
      </c>
      <c r="BK29" s="3" t="s">
        <v>192</v>
      </c>
      <c r="BL29" s="3">
        <v>4</v>
      </c>
      <c r="BM29" s="3" t="s">
        <v>192</v>
      </c>
      <c r="BN29" s="3" t="s">
        <v>192</v>
      </c>
      <c r="BO29" s="3" t="s">
        <v>192</v>
      </c>
      <c r="BP29" s="3" t="s">
        <v>192</v>
      </c>
      <c r="BQ29" s="3" t="s">
        <v>192</v>
      </c>
      <c r="BR29" s="3" t="s">
        <v>192</v>
      </c>
      <c r="BS29" s="3">
        <v>2</v>
      </c>
      <c r="BT29" s="3" t="s">
        <v>192</v>
      </c>
      <c r="BU29" s="3" t="s">
        <v>192</v>
      </c>
      <c r="BV29" s="3" t="s">
        <v>192</v>
      </c>
      <c r="BW29" s="3" t="s">
        <v>192</v>
      </c>
      <c r="BX29" s="3" t="s">
        <v>192</v>
      </c>
      <c r="BY29" s="3" t="s">
        <v>192</v>
      </c>
      <c r="BZ29" s="3" t="s">
        <v>192</v>
      </c>
      <c r="CA29" s="3" t="s">
        <v>192</v>
      </c>
      <c r="CB29" s="3" t="s">
        <v>192</v>
      </c>
      <c r="CC29" s="3" t="s">
        <v>192</v>
      </c>
      <c r="CD29" s="3" t="s">
        <v>192</v>
      </c>
      <c r="CE29" s="3" t="s">
        <v>192</v>
      </c>
      <c r="CF29" s="3" t="s">
        <v>192</v>
      </c>
      <c r="CG29" s="3">
        <v>1</v>
      </c>
      <c r="CH29" s="3" t="s">
        <v>192</v>
      </c>
      <c r="CI29" s="3" t="s">
        <v>192</v>
      </c>
      <c r="CJ29" s="3" t="s">
        <v>192</v>
      </c>
      <c r="CK29" s="3" t="s">
        <v>192</v>
      </c>
      <c r="CL29" s="3" t="s">
        <v>192</v>
      </c>
      <c r="CM29" s="3" t="s">
        <v>192</v>
      </c>
      <c r="CN29" s="3" t="s">
        <v>192</v>
      </c>
      <c r="CO29" s="3" t="s">
        <v>192</v>
      </c>
      <c r="CP29" s="3" t="s">
        <v>192</v>
      </c>
      <c r="CQ29" s="3" t="s">
        <v>192</v>
      </c>
      <c r="CR29" s="3" t="s">
        <v>192</v>
      </c>
      <c r="CS29" s="3" t="s">
        <v>192</v>
      </c>
      <c r="CT29" s="1">
        <f>SUM(Table7[[#This Row],[Acyl_amino_acids]:[T3PKS]])</f>
        <v>12</v>
      </c>
      <c r="CU29" s="3" t="s">
        <v>192</v>
      </c>
      <c r="CW29" s="1">
        <f>Table7[[#This Row],[NRPS]]</f>
        <v>4</v>
      </c>
      <c r="CX29" s="1">
        <f>SUM(CP29,CR29,CS29,Table7[[#This Row],[T1PKS, T3PKS]])</f>
        <v>0</v>
      </c>
      <c r="CY29" s="1">
        <f t="shared" si="0"/>
        <v>2</v>
      </c>
      <c r="CZ29" s="1">
        <f>Table7[[#This Row],[Terpene]]</f>
        <v>1</v>
      </c>
      <c r="DA29" s="1">
        <f>SUM(Table7[[#This Row],[Thiopeptide]],BH29,BF29,BE29,BC29,AZ29,AX29,AW29,AJ29,AH29,N29,L29,J29,H29,I29,K29,R29,Q29,Table7[[#This Row],[Cyanobactin, LAP]])</f>
        <v>4</v>
      </c>
      <c r="DB29" s="1">
        <f>SUM(CO29,CN29,CL29,CK29,CJ29,CI29,CH29,CF29,CE29,CD29,CB29,CA29,BZ29,BY29,BX29,BW29,BV29,BT29,BR29,BQ29,BP29,BO29,BM29,BK29,BJ29,BI29,BG29,BD29,BB29,BA29,AY29,AV29,AU29,AT29,AS29,AR29,AQ29,AP29,AO29,AN29,AM29,AL29,AK29,AG29,AF29,AE29,AD29,AC29,AB29,AA29,Z29,Y29,X29,W29,V29,U29,T29,S29,P29,O29,M29,Table7[[#This Row],[Acyl_amino_acids]],E29,F29,G29,)</f>
        <v>1</v>
      </c>
    </row>
    <row r="30" spans="1:106" x14ac:dyDescent="0.25">
      <c r="A30" s="9" t="s">
        <v>636</v>
      </c>
      <c r="B30" s="1" t="s">
        <v>435</v>
      </c>
      <c r="C30" s="1" t="s">
        <v>255</v>
      </c>
      <c r="D30" s="1" t="s">
        <v>192</v>
      </c>
      <c r="E30" s="1" t="s">
        <v>192</v>
      </c>
      <c r="F30" s="3" t="s">
        <v>192</v>
      </c>
      <c r="G30" s="3" t="s">
        <v>192</v>
      </c>
      <c r="H30" s="3">
        <v>4</v>
      </c>
      <c r="I30" s="3" t="s">
        <v>192</v>
      </c>
      <c r="J30" s="3" t="s">
        <v>192</v>
      </c>
      <c r="K30" s="3" t="s">
        <v>192</v>
      </c>
      <c r="L30" s="3" t="s">
        <v>192</v>
      </c>
      <c r="M30" s="3" t="s">
        <v>192</v>
      </c>
      <c r="N30" s="3" t="s">
        <v>192</v>
      </c>
      <c r="O30" s="3" t="s">
        <v>192</v>
      </c>
      <c r="P30" s="3" t="s">
        <v>192</v>
      </c>
      <c r="Q30" s="3" t="s">
        <v>192</v>
      </c>
      <c r="R30" s="3" t="s">
        <v>192</v>
      </c>
      <c r="S30" s="3" t="s">
        <v>192</v>
      </c>
      <c r="T30" s="3" t="s">
        <v>192</v>
      </c>
      <c r="U30" s="3" t="s">
        <v>192</v>
      </c>
      <c r="V30" s="3" t="s">
        <v>192</v>
      </c>
      <c r="W30" s="3" t="s">
        <v>192</v>
      </c>
      <c r="X30" s="3" t="s">
        <v>192</v>
      </c>
      <c r="Y30" s="3" t="s">
        <v>192</v>
      </c>
      <c r="Z30" s="3" t="s">
        <v>192</v>
      </c>
      <c r="AA30" s="3" t="s">
        <v>192</v>
      </c>
      <c r="AB30" s="3" t="s">
        <v>192</v>
      </c>
      <c r="AC30" s="3" t="s">
        <v>192</v>
      </c>
      <c r="AD30" s="3" t="s">
        <v>192</v>
      </c>
      <c r="AE30" s="3" t="s">
        <v>192</v>
      </c>
      <c r="AF30" s="3" t="s">
        <v>192</v>
      </c>
      <c r="AG30" s="3" t="s">
        <v>192</v>
      </c>
      <c r="AH30" s="3" t="s">
        <v>192</v>
      </c>
      <c r="AI30" s="3" t="s">
        <v>192</v>
      </c>
      <c r="AJ30" s="3" t="s">
        <v>192</v>
      </c>
      <c r="AK30" s="3" t="s">
        <v>192</v>
      </c>
      <c r="AL30" s="3" t="s">
        <v>192</v>
      </c>
      <c r="AM30" s="3" t="s">
        <v>192</v>
      </c>
      <c r="AN30" s="3" t="s">
        <v>192</v>
      </c>
      <c r="AO30" s="3" t="s">
        <v>192</v>
      </c>
      <c r="AP30" s="3" t="s">
        <v>192</v>
      </c>
      <c r="AQ30" s="3" t="s">
        <v>192</v>
      </c>
      <c r="AR30" s="3" t="s">
        <v>192</v>
      </c>
      <c r="AS30" s="3" t="s">
        <v>192</v>
      </c>
      <c r="AT30" s="3" t="s">
        <v>192</v>
      </c>
      <c r="AU30" s="3" t="s">
        <v>192</v>
      </c>
      <c r="AV30" s="3" t="s">
        <v>192</v>
      </c>
      <c r="AW30" s="3" t="s">
        <v>192</v>
      </c>
      <c r="AX30" s="3" t="s">
        <v>192</v>
      </c>
      <c r="AY30" s="3" t="s">
        <v>192</v>
      </c>
      <c r="AZ30" s="3" t="s">
        <v>192</v>
      </c>
      <c r="BA30" s="3" t="s">
        <v>192</v>
      </c>
      <c r="BB30" s="3" t="s">
        <v>192</v>
      </c>
      <c r="BC30" s="3" t="s">
        <v>192</v>
      </c>
      <c r="BD30" s="3" t="s">
        <v>192</v>
      </c>
      <c r="BE30" s="3" t="s">
        <v>192</v>
      </c>
      <c r="BF30" s="3">
        <v>1</v>
      </c>
      <c r="BG30" s="3" t="s">
        <v>192</v>
      </c>
      <c r="BH30" s="3" t="s">
        <v>192</v>
      </c>
      <c r="BI30" s="3" t="s">
        <v>192</v>
      </c>
      <c r="BJ30" s="3" t="s">
        <v>192</v>
      </c>
      <c r="BK30" s="3" t="s">
        <v>192</v>
      </c>
      <c r="BL30" s="3">
        <v>3</v>
      </c>
      <c r="BM30" s="3" t="s">
        <v>192</v>
      </c>
      <c r="BN30" s="3" t="s">
        <v>192</v>
      </c>
      <c r="BO30" s="3" t="s">
        <v>192</v>
      </c>
      <c r="BP30" s="3" t="s">
        <v>192</v>
      </c>
      <c r="BQ30" s="3" t="s">
        <v>192</v>
      </c>
      <c r="BR30" s="3" t="s">
        <v>192</v>
      </c>
      <c r="BS30" s="3" t="s">
        <v>192</v>
      </c>
      <c r="BT30" s="3" t="s">
        <v>192</v>
      </c>
      <c r="BU30" s="3" t="s">
        <v>192</v>
      </c>
      <c r="BV30" s="3" t="s">
        <v>192</v>
      </c>
      <c r="BW30" s="3" t="s">
        <v>192</v>
      </c>
      <c r="BX30" s="3" t="s">
        <v>192</v>
      </c>
      <c r="BY30" s="3" t="s">
        <v>192</v>
      </c>
      <c r="BZ30" s="3" t="s">
        <v>192</v>
      </c>
      <c r="CA30" s="3" t="s">
        <v>192</v>
      </c>
      <c r="CB30" s="3" t="s">
        <v>192</v>
      </c>
      <c r="CC30" s="3" t="s">
        <v>192</v>
      </c>
      <c r="CD30" s="3" t="s">
        <v>192</v>
      </c>
      <c r="CE30" s="3" t="s">
        <v>192</v>
      </c>
      <c r="CF30" s="3" t="s">
        <v>192</v>
      </c>
      <c r="CG30" s="3">
        <v>1</v>
      </c>
      <c r="CH30" s="3" t="s">
        <v>192</v>
      </c>
      <c r="CI30" s="3" t="s">
        <v>192</v>
      </c>
      <c r="CJ30" s="3" t="s">
        <v>192</v>
      </c>
      <c r="CK30" s="3" t="s">
        <v>192</v>
      </c>
      <c r="CL30" s="3" t="s">
        <v>192</v>
      </c>
      <c r="CM30" s="3" t="s">
        <v>192</v>
      </c>
      <c r="CN30" s="3" t="s">
        <v>192</v>
      </c>
      <c r="CO30" s="3" t="s">
        <v>192</v>
      </c>
      <c r="CP30" s="3" t="s">
        <v>192</v>
      </c>
      <c r="CQ30" s="3" t="s">
        <v>192</v>
      </c>
      <c r="CR30" s="3" t="s">
        <v>192</v>
      </c>
      <c r="CS30" s="3" t="s">
        <v>192</v>
      </c>
      <c r="CT30" s="1">
        <f>SUM(Table7[[#This Row],[Acyl_amino_acids]:[T3PKS]])</f>
        <v>9</v>
      </c>
      <c r="CU30" s="3" t="s">
        <v>192</v>
      </c>
      <c r="CW30" s="1">
        <f>Table7[[#This Row],[NRPS]]</f>
        <v>3</v>
      </c>
      <c r="CX30" s="1">
        <f>SUM(CP30,CR30,CS30,Table7[[#This Row],[T1PKS, T3PKS]])</f>
        <v>0</v>
      </c>
      <c r="CY30" s="1">
        <f t="shared" si="0"/>
        <v>0</v>
      </c>
      <c r="CZ30" s="1">
        <f>Table7[[#This Row],[Terpene]]</f>
        <v>1</v>
      </c>
      <c r="DA30" s="1">
        <f>SUM(Table7[[#This Row],[Thiopeptide]],BH30,BF30,BE30,BC30,AZ30,AX30,AW30,AJ30,AH30,N30,L30,J30,H30,I30,K30,R30,Q30,Table7[[#This Row],[Cyanobactin, LAP]])</f>
        <v>5</v>
      </c>
      <c r="DB30" s="1">
        <f>SUM(CO30,CN30,CL30,CK30,CJ30,CI30,CH30,CF30,CE30,CD30,CB30,CA30,BZ30,BY30,BX30,BW30,BV30,BT30,BR30,BQ30,BP30,BO30,BM30,BK30,BJ30,BI30,BG30,BD30,BB30,BA30,AY30,AV30,AU30,AT30,AS30,AR30,AQ30,AP30,AO30,AN30,AM30,AL30,AK30,AG30,AF30,AE30,AD30,AC30,AB30,AA30,Z30,Y30,X30,W30,V30,U30,T30,S30,P30,O30,M30,Table7[[#This Row],[Acyl_amino_acids]],E30,F30,G30,)</f>
        <v>0</v>
      </c>
    </row>
    <row r="31" spans="1:106" x14ac:dyDescent="0.25">
      <c r="A31" s="9" t="s">
        <v>695</v>
      </c>
      <c r="B31" s="1" t="s">
        <v>625</v>
      </c>
      <c r="C31" s="1" t="s">
        <v>262</v>
      </c>
      <c r="D31" s="1" t="s">
        <v>192</v>
      </c>
      <c r="E31" s="1" t="s">
        <v>192</v>
      </c>
      <c r="F31" s="1" t="s">
        <v>192</v>
      </c>
      <c r="G31" s="1" t="s">
        <v>192</v>
      </c>
      <c r="H31" s="1">
        <v>1</v>
      </c>
      <c r="I31" s="1" t="s">
        <v>192</v>
      </c>
      <c r="J31" s="1" t="s">
        <v>192</v>
      </c>
      <c r="K31" s="1" t="s">
        <v>192</v>
      </c>
      <c r="L31" s="1" t="s">
        <v>192</v>
      </c>
      <c r="M31" s="1" t="s">
        <v>192</v>
      </c>
      <c r="N31" s="1" t="s">
        <v>192</v>
      </c>
      <c r="O31" s="1" t="s">
        <v>192</v>
      </c>
      <c r="P31" s="1" t="s">
        <v>192</v>
      </c>
      <c r="Q31" s="1" t="s">
        <v>192</v>
      </c>
      <c r="R31" s="1" t="s">
        <v>192</v>
      </c>
      <c r="S31" s="1" t="s">
        <v>192</v>
      </c>
      <c r="T31" s="1" t="s">
        <v>192</v>
      </c>
      <c r="U31" s="1" t="s">
        <v>192</v>
      </c>
      <c r="V31" s="1" t="s">
        <v>192</v>
      </c>
      <c r="W31" s="1" t="s">
        <v>192</v>
      </c>
      <c r="X31" s="1" t="s">
        <v>192</v>
      </c>
      <c r="Y31" s="1" t="s">
        <v>192</v>
      </c>
      <c r="Z31" s="1" t="s">
        <v>192</v>
      </c>
      <c r="AA31" s="1" t="s">
        <v>192</v>
      </c>
      <c r="AB31" s="1" t="s">
        <v>192</v>
      </c>
      <c r="AC31" s="1" t="s">
        <v>192</v>
      </c>
      <c r="AD31" s="1" t="s">
        <v>192</v>
      </c>
      <c r="AE31" s="1" t="s">
        <v>192</v>
      </c>
      <c r="AF31" s="1" t="s">
        <v>192</v>
      </c>
      <c r="AG31" s="1" t="s">
        <v>192</v>
      </c>
      <c r="AH31" s="1" t="s">
        <v>192</v>
      </c>
      <c r="AI31" s="1" t="s">
        <v>192</v>
      </c>
      <c r="AJ31" s="1" t="s">
        <v>192</v>
      </c>
      <c r="AK31" s="1" t="s">
        <v>192</v>
      </c>
      <c r="AL31" s="1" t="s">
        <v>192</v>
      </c>
      <c r="AM31" s="1" t="s">
        <v>192</v>
      </c>
      <c r="AN31" s="1" t="s">
        <v>192</v>
      </c>
      <c r="AO31" s="1" t="s">
        <v>192</v>
      </c>
      <c r="AP31" s="1" t="s">
        <v>192</v>
      </c>
      <c r="AQ31" s="1" t="s">
        <v>192</v>
      </c>
      <c r="AR31" s="1" t="s">
        <v>192</v>
      </c>
      <c r="AS31" s="1" t="s">
        <v>192</v>
      </c>
      <c r="AT31" s="1" t="s">
        <v>192</v>
      </c>
      <c r="AU31" s="1" t="s">
        <v>192</v>
      </c>
      <c r="AV31" s="1" t="s">
        <v>192</v>
      </c>
      <c r="AW31" s="1" t="s">
        <v>192</v>
      </c>
      <c r="AX31" s="1" t="s">
        <v>192</v>
      </c>
      <c r="AY31" s="1" t="s">
        <v>192</v>
      </c>
      <c r="AZ31" s="1" t="s">
        <v>192</v>
      </c>
      <c r="BA31" s="1" t="s">
        <v>192</v>
      </c>
      <c r="BB31" s="1" t="s">
        <v>192</v>
      </c>
      <c r="BC31" s="1" t="s">
        <v>192</v>
      </c>
      <c r="BD31" s="1" t="s">
        <v>192</v>
      </c>
      <c r="BE31" s="1" t="s">
        <v>192</v>
      </c>
      <c r="BF31" s="1" t="s">
        <v>192</v>
      </c>
      <c r="BG31" s="1" t="s">
        <v>192</v>
      </c>
      <c r="BH31" s="1" t="s">
        <v>192</v>
      </c>
      <c r="BI31" s="1" t="s">
        <v>192</v>
      </c>
      <c r="BJ31" s="1" t="s">
        <v>192</v>
      </c>
      <c r="BK31" s="1" t="s">
        <v>192</v>
      </c>
      <c r="BL31" s="1">
        <v>1</v>
      </c>
      <c r="BM31" s="1" t="s">
        <v>192</v>
      </c>
      <c r="BN31" s="1" t="s">
        <v>192</v>
      </c>
      <c r="BO31" s="1" t="s">
        <v>192</v>
      </c>
      <c r="BP31" s="1" t="s">
        <v>192</v>
      </c>
      <c r="BQ31" s="1" t="s">
        <v>192</v>
      </c>
      <c r="BR31" s="1" t="s">
        <v>192</v>
      </c>
      <c r="BS31" s="1">
        <v>1</v>
      </c>
      <c r="BT31" s="1" t="s">
        <v>192</v>
      </c>
      <c r="BU31" s="1" t="s">
        <v>192</v>
      </c>
      <c r="BV31" s="1" t="s">
        <v>192</v>
      </c>
      <c r="BW31" s="1" t="s">
        <v>192</v>
      </c>
      <c r="BX31" s="1" t="s">
        <v>192</v>
      </c>
      <c r="BY31" s="1" t="s">
        <v>192</v>
      </c>
      <c r="BZ31" s="1" t="s">
        <v>192</v>
      </c>
      <c r="CA31" s="1" t="s">
        <v>192</v>
      </c>
      <c r="CB31" s="1" t="s">
        <v>192</v>
      </c>
      <c r="CC31" s="1" t="s">
        <v>192</v>
      </c>
      <c r="CD31" s="1" t="s">
        <v>192</v>
      </c>
      <c r="CE31" s="1" t="s">
        <v>192</v>
      </c>
      <c r="CF31" s="1" t="s">
        <v>192</v>
      </c>
      <c r="CG31" s="1">
        <v>2</v>
      </c>
      <c r="CH31" s="1" t="s">
        <v>192</v>
      </c>
      <c r="CI31" s="1">
        <v>1</v>
      </c>
      <c r="CJ31" s="1" t="s">
        <v>192</v>
      </c>
      <c r="CK31" s="1" t="s">
        <v>192</v>
      </c>
      <c r="CL31" s="1" t="s">
        <v>192</v>
      </c>
      <c r="CM31" s="1">
        <v>1</v>
      </c>
      <c r="CN31" s="1" t="s">
        <v>192</v>
      </c>
      <c r="CO31" s="1" t="s">
        <v>192</v>
      </c>
      <c r="CP31" s="1" t="s">
        <v>192</v>
      </c>
      <c r="CQ31" s="1" t="s">
        <v>192</v>
      </c>
      <c r="CR31" s="1" t="s">
        <v>192</v>
      </c>
      <c r="CS31" s="1" t="s">
        <v>192</v>
      </c>
      <c r="CT31" s="1">
        <f>SUM(Table7[[#This Row],[Acyl_amino_acids]:[T3PKS]])</f>
        <v>7</v>
      </c>
      <c r="CU31" s="1" t="s">
        <v>192</v>
      </c>
      <c r="CW31" s="1">
        <f>Table7[[#This Row],[NRPS]]</f>
        <v>1</v>
      </c>
      <c r="CX31" s="1">
        <f>SUM(CP31,CR31,CS31,Table7[[#This Row],[T1PKS, T3PKS]])</f>
        <v>0</v>
      </c>
      <c r="CY31" s="1">
        <f t="shared" si="0"/>
        <v>1</v>
      </c>
      <c r="CZ31" s="1">
        <f>Table7[[#This Row],[Terpene]]</f>
        <v>2</v>
      </c>
      <c r="DA31" s="1">
        <f>SUM(Table7[[#This Row],[Thiopeptide]],BH31,BF31,BE31,BC31,AZ31,AX31,AW31,AJ31,AH31,N31,L31,J31,H31,I31,K31,R31,Q31,Table7[[#This Row],[Cyanobactin, LAP]])</f>
        <v>2</v>
      </c>
      <c r="DB31" s="1">
        <f>SUM(CO31,CN31,CL31,CK31,CJ31,CI31,CH31,CF31,CE31,CD31,CB31,CA31,BZ31,BY31,BX31,BW31,BV31,BT31,BR31,BQ31,BP31,BO31,BM31,BK31,BJ31,BI31,BG31,BD31,BB31,BA31,AY31,AV31,AU31,AT31,AS31,AR31,AQ31,AP31,AO31,AN31,AM31,AL31,AK31,AG31,AF31,AE31,AD31,AC31,AB31,AA31,Z31,Y31,X31,W31,V31,U31,T31,S31,P31,O31,M31,Table7[[#This Row],[Acyl_amino_acids]],E31,F31,G31,)</f>
        <v>1</v>
      </c>
    </row>
    <row r="32" spans="1:106" x14ac:dyDescent="0.25">
      <c r="A32" s="9" t="s">
        <v>725</v>
      </c>
      <c r="B32" s="1" t="s">
        <v>435</v>
      </c>
      <c r="C32" s="1" t="s">
        <v>256</v>
      </c>
      <c r="D32" s="1" t="s">
        <v>192</v>
      </c>
      <c r="E32" s="3" t="s">
        <v>192</v>
      </c>
      <c r="F32" s="3">
        <v>1</v>
      </c>
      <c r="G32" s="3" t="s">
        <v>192</v>
      </c>
      <c r="H32" s="3">
        <v>2</v>
      </c>
      <c r="I32" s="3" t="s">
        <v>192</v>
      </c>
      <c r="J32" s="3" t="s">
        <v>192</v>
      </c>
      <c r="K32" s="3" t="s">
        <v>192</v>
      </c>
      <c r="L32" s="3">
        <v>1</v>
      </c>
      <c r="M32" s="3" t="s">
        <v>192</v>
      </c>
      <c r="N32" s="3" t="s">
        <v>192</v>
      </c>
      <c r="O32" s="3" t="s">
        <v>192</v>
      </c>
      <c r="P32" s="3" t="s">
        <v>192</v>
      </c>
      <c r="Q32" s="3" t="s">
        <v>192</v>
      </c>
      <c r="R32" s="3" t="s">
        <v>192</v>
      </c>
      <c r="S32" s="3" t="s">
        <v>192</v>
      </c>
      <c r="T32" s="3" t="s">
        <v>192</v>
      </c>
      <c r="U32" s="3" t="s">
        <v>192</v>
      </c>
      <c r="V32" s="3" t="s">
        <v>192</v>
      </c>
      <c r="W32" s="3" t="s">
        <v>192</v>
      </c>
      <c r="X32" s="3" t="s">
        <v>192</v>
      </c>
      <c r="Y32" s="3" t="s">
        <v>192</v>
      </c>
      <c r="Z32" s="3" t="s">
        <v>192</v>
      </c>
      <c r="AA32" s="3" t="s">
        <v>192</v>
      </c>
      <c r="AB32" s="3" t="s">
        <v>192</v>
      </c>
      <c r="AC32" s="3" t="s">
        <v>192</v>
      </c>
      <c r="AD32" s="3" t="s">
        <v>192</v>
      </c>
      <c r="AE32" s="3" t="s">
        <v>192</v>
      </c>
      <c r="AF32" s="3" t="s">
        <v>192</v>
      </c>
      <c r="AG32" s="3" t="s">
        <v>192</v>
      </c>
      <c r="AH32" s="3" t="s">
        <v>192</v>
      </c>
      <c r="AI32" s="3" t="s">
        <v>192</v>
      </c>
      <c r="AJ32" s="3" t="s">
        <v>192</v>
      </c>
      <c r="AK32" s="3" t="s">
        <v>192</v>
      </c>
      <c r="AL32" s="3" t="s">
        <v>192</v>
      </c>
      <c r="AM32" s="3" t="s">
        <v>192</v>
      </c>
      <c r="AN32" s="3" t="s">
        <v>192</v>
      </c>
      <c r="AO32" s="3" t="s">
        <v>192</v>
      </c>
      <c r="AP32" s="3" t="s">
        <v>192</v>
      </c>
      <c r="AQ32" s="3" t="s">
        <v>192</v>
      </c>
      <c r="AR32" s="3" t="s">
        <v>192</v>
      </c>
      <c r="AS32" s="3" t="s">
        <v>192</v>
      </c>
      <c r="AT32" s="3" t="s">
        <v>192</v>
      </c>
      <c r="AU32" s="3" t="s">
        <v>192</v>
      </c>
      <c r="AV32" s="3" t="s">
        <v>192</v>
      </c>
      <c r="AW32" s="3" t="s">
        <v>192</v>
      </c>
      <c r="AX32" s="3" t="s">
        <v>192</v>
      </c>
      <c r="AY32" s="3" t="s">
        <v>192</v>
      </c>
      <c r="AZ32" s="3" t="s">
        <v>192</v>
      </c>
      <c r="BA32" s="3" t="s">
        <v>192</v>
      </c>
      <c r="BB32" s="3" t="s">
        <v>192</v>
      </c>
      <c r="BC32" s="3" t="s">
        <v>192</v>
      </c>
      <c r="BD32" s="3" t="s">
        <v>192</v>
      </c>
      <c r="BE32" s="3" t="s">
        <v>192</v>
      </c>
      <c r="BF32" s="3" t="s">
        <v>192</v>
      </c>
      <c r="BG32" s="3" t="s">
        <v>192</v>
      </c>
      <c r="BH32" s="3" t="s">
        <v>192</v>
      </c>
      <c r="BI32" s="3" t="s">
        <v>192</v>
      </c>
      <c r="BJ32" s="3" t="s">
        <v>192</v>
      </c>
      <c r="BK32" s="3" t="s">
        <v>192</v>
      </c>
      <c r="BL32" s="3" t="s">
        <v>192</v>
      </c>
      <c r="BM32" s="3" t="s">
        <v>192</v>
      </c>
      <c r="BN32" s="3" t="s">
        <v>192</v>
      </c>
      <c r="BO32" s="3" t="s">
        <v>192</v>
      </c>
      <c r="BP32" s="3" t="s">
        <v>192</v>
      </c>
      <c r="BQ32" s="3" t="s">
        <v>192</v>
      </c>
      <c r="BR32" s="3" t="s">
        <v>192</v>
      </c>
      <c r="BS32" s="3" t="s">
        <v>192</v>
      </c>
      <c r="BT32" s="3" t="s">
        <v>192</v>
      </c>
      <c r="BU32" s="3" t="s">
        <v>192</v>
      </c>
      <c r="BV32" s="3" t="s">
        <v>192</v>
      </c>
      <c r="BW32" s="3" t="s">
        <v>192</v>
      </c>
      <c r="BX32" s="3" t="s">
        <v>192</v>
      </c>
      <c r="BY32" s="3" t="s">
        <v>192</v>
      </c>
      <c r="BZ32" s="3" t="s">
        <v>192</v>
      </c>
      <c r="CA32" s="3" t="s">
        <v>192</v>
      </c>
      <c r="CB32" s="3" t="s">
        <v>192</v>
      </c>
      <c r="CC32" s="3" t="s">
        <v>192</v>
      </c>
      <c r="CD32" s="3" t="s">
        <v>192</v>
      </c>
      <c r="CE32" s="3" t="s">
        <v>192</v>
      </c>
      <c r="CF32" s="3">
        <v>1</v>
      </c>
      <c r="CG32" s="3">
        <v>3</v>
      </c>
      <c r="CH32" s="3" t="s">
        <v>192</v>
      </c>
      <c r="CI32" s="3" t="s">
        <v>192</v>
      </c>
      <c r="CJ32" s="3" t="s">
        <v>192</v>
      </c>
      <c r="CK32" s="3" t="s">
        <v>192</v>
      </c>
      <c r="CL32" s="3" t="s">
        <v>192</v>
      </c>
      <c r="CM32" s="3" t="s">
        <v>192</v>
      </c>
      <c r="CN32" s="3" t="s">
        <v>192</v>
      </c>
      <c r="CO32" s="3" t="s">
        <v>192</v>
      </c>
      <c r="CP32" s="3" t="s">
        <v>192</v>
      </c>
      <c r="CQ32" s="3" t="s">
        <v>192</v>
      </c>
      <c r="CR32" s="3" t="s">
        <v>192</v>
      </c>
      <c r="CS32" s="3" t="s">
        <v>192</v>
      </c>
      <c r="CT32" s="1">
        <f>SUM(Table7[[#This Row],[Acyl_amino_acids]:[T3PKS]])</f>
        <v>8</v>
      </c>
      <c r="CU32" s="3" t="s">
        <v>192</v>
      </c>
      <c r="CW32" s="1" t="str">
        <f>Table7[[#This Row],[NRPS]]</f>
        <v>-</v>
      </c>
      <c r="CX32" s="1">
        <f>SUM(CP32,CR32,CS32,Table7[[#This Row],[T1PKS, T3PKS]])</f>
        <v>0</v>
      </c>
      <c r="CY32" s="1">
        <f t="shared" si="0"/>
        <v>0</v>
      </c>
      <c r="CZ32" s="1">
        <f>Table7[[#This Row],[Terpene]]</f>
        <v>3</v>
      </c>
      <c r="DA32" s="1">
        <f>SUM(Table7[[#This Row],[Thiopeptide]],BH32,BF32,BE32,BC32,AZ32,AX32,AW32,AJ32,AH32,N32,L32,J32,H32,I32,K32,R32,Q32,Table7[[#This Row],[Cyanobactin, LAP]])</f>
        <v>3</v>
      </c>
      <c r="DB32" s="1">
        <f>SUM(CO32,CN32,CL32,CK32,CJ32,CI32,CH32,CF32,CE32,CD32,CB32,CA32,BZ32,BY32,BX32,BW32,BV32,BT32,BR32,BQ32,BP32,BO32,BM32,BK32,BJ32,BI32,BG32,BD32,BB32,BA32,AY32,AV32,AU32,AT32,AS32,AR32,AQ32,AP32,AO32,AN32,AM32,AL32,AK32,AG32,AF32,AE32,AD32,AC32,AB32,AA32,Z32,Y32,X32,W32,V32,U32,T32,S32,P32,O32,M32,Table7[[#This Row],[Acyl_amino_acids]],E32,F32,G32,)</f>
        <v>2</v>
      </c>
    </row>
    <row r="33" spans="1:106" x14ac:dyDescent="0.25">
      <c r="A33" s="9" t="s">
        <v>733</v>
      </c>
      <c r="B33" s="1" t="s">
        <v>435</v>
      </c>
      <c r="C33" s="1" t="s">
        <v>257</v>
      </c>
      <c r="D33" s="1" t="s">
        <v>192</v>
      </c>
      <c r="E33" s="3" t="s">
        <v>192</v>
      </c>
      <c r="F33" s="3" t="s">
        <v>192</v>
      </c>
      <c r="G33" s="3" t="s">
        <v>192</v>
      </c>
      <c r="H33" s="3" t="s">
        <v>192</v>
      </c>
      <c r="I33" s="3" t="s">
        <v>192</v>
      </c>
      <c r="J33" s="3" t="s">
        <v>192</v>
      </c>
      <c r="K33" s="3" t="s">
        <v>192</v>
      </c>
      <c r="L33" s="3" t="s">
        <v>192</v>
      </c>
      <c r="M33" s="3" t="s">
        <v>192</v>
      </c>
      <c r="N33" s="3" t="s">
        <v>192</v>
      </c>
      <c r="O33" s="3" t="s">
        <v>192</v>
      </c>
      <c r="P33" s="3" t="s">
        <v>192</v>
      </c>
      <c r="Q33" s="3" t="s">
        <v>192</v>
      </c>
      <c r="R33" s="3" t="s">
        <v>192</v>
      </c>
      <c r="S33" s="3" t="s">
        <v>192</v>
      </c>
      <c r="T33" s="3" t="s">
        <v>192</v>
      </c>
      <c r="U33" s="3" t="s">
        <v>192</v>
      </c>
      <c r="V33" s="3" t="s">
        <v>192</v>
      </c>
      <c r="W33" s="3" t="s">
        <v>192</v>
      </c>
      <c r="X33" s="3" t="s">
        <v>192</v>
      </c>
      <c r="Y33" s="3" t="s">
        <v>192</v>
      </c>
      <c r="Z33" s="3" t="s">
        <v>192</v>
      </c>
      <c r="AA33" s="3" t="s">
        <v>192</v>
      </c>
      <c r="AB33" s="3" t="s">
        <v>192</v>
      </c>
      <c r="AC33" s="3" t="s">
        <v>192</v>
      </c>
      <c r="AD33" s="3" t="s">
        <v>192</v>
      </c>
      <c r="AE33" s="3" t="s">
        <v>192</v>
      </c>
      <c r="AF33" s="3" t="s">
        <v>192</v>
      </c>
      <c r="AG33" s="3" t="s">
        <v>192</v>
      </c>
      <c r="AH33" s="3" t="s">
        <v>192</v>
      </c>
      <c r="AI33" s="3" t="s">
        <v>192</v>
      </c>
      <c r="AJ33" s="3" t="s">
        <v>192</v>
      </c>
      <c r="AK33" s="3" t="s">
        <v>192</v>
      </c>
      <c r="AL33" s="3" t="s">
        <v>192</v>
      </c>
      <c r="AM33" s="3" t="s">
        <v>192</v>
      </c>
      <c r="AN33" s="3" t="s">
        <v>192</v>
      </c>
      <c r="AO33" s="3" t="s">
        <v>192</v>
      </c>
      <c r="AP33" s="3" t="s">
        <v>192</v>
      </c>
      <c r="AQ33" s="3" t="s">
        <v>192</v>
      </c>
      <c r="AR33" s="3" t="s">
        <v>192</v>
      </c>
      <c r="AS33" s="3" t="s">
        <v>192</v>
      </c>
      <c r="AT33" s="3" t="s">
        <v>192</v>
      </c>
      <c r="AU33" s="3" t="s">
        <v>192</v>
      </c>
      <c r="AV33" s="3" t="s">
        <v>192</v>
      </c>
      <c r="AW33" s="3" t="s">
        <v>192</v>
      </c>
      <c r="AX33" s="3" t="s">
        <v>192</v>
      </c>
      <c r="AY33" s="3" t="s">
        <v>192</v>
      </c>
      <c r="AZ33" s="3" t="s">
        <v>192</v>
      </c>
      <c r="BA33" s="3" t="s">
        <v>192</v>
      </c>
      <c r="BB33" s="3" t="s">
        <v>192</v>
      </c>
      <c r="BC33" s="3" t="s">
        <v>192</v>
      </c>
      <c r="BD33" s="3" t="s">
        <v>192</v>
      </c>
      <c r="BE33" s="3" t="s">
        <v>192</v>
      </c>
      <c r="BF33" s="3" t="s">
        <v>192</v>
      </c>
      <c r="BG33" s="3" t="s">
        <v>192</v>
      </c>
      <c r="BH33" s="3" t="s">
        <v>192</v>
      </c>
      <c r="BI33" s="3" t="s">
        <v>192</v>
      </c>
      <c r="BJ33" s="3" t="s">
        <v>192</v>
      </c>
      <c r="BK33" s="3" t="s">
        <v>192</v>
      </c>
      <c r="BL33" s="3" t="s">
        <v>192</v>
      </c>
      <c r="BM33" s="3" t="s">
        <v>192</v>
      </c>
      <c r="BN33" s="3" t="s">
        <v>192</v>
      </c>
      <c r="BO33" s="3" t="s">
        <v>192</v>
      </c>
      <c r="BP33" s="3" t="s">
        <v>192</v>
      </c>
      <c r="BQ33" s="3" t="s">
        <v>192</v>
      </c>
      <c r="BR33" s="3" t="s">
        <v>192</v>
      </c>
      <c r="BS33" s="3" t="s">
        <v>192</v>
      </c>
      <c r="BT33" s="3" t="s">
        <v>192</v>
      </c>
      <c r="BU33" s="3" t="s">
        <v>192</v>
      </c>
      <c r="BV33" s="3" t="s">
        <v>192</v>
      </c>
      <c r="BW33" s="3" t="s">
        <v>192</v>
      </c>
      <c r="BX33" s="3" t="s">
        <v>192</v>
      </c>
      <c r="BY33" s="3" t="s">
        <v>192</v>
      </c>
      <c r="BZ33" s="3" t="s">
        <v>192</v>
      </c>
      <c r="CA33" s="3" t="s">
        <v>192</v>
      </c>
      <c r="CB33" s="3" t="s">
        <v>192</v>
      </c>
      <c r="CC33" s="3" t="s">
        <v>192</v>
      </c>
      <c r="CD33" s="3" t="s">
        <v>192</v>
      </c>
      <c r="CE33" s="3" t="s">
        <v>192</v>
      </c>
      <c r="CF33" s="3" t="s">
        <v>192</v>
      </c>
      <c r="CG33" s="3">
        <v>3</v>
      </c>
      <c r="CH33" s="3" t="s">
        <v>192</v>
      </c>
      <c r="CI33" s="3" t="s">
        <v>192</v>
      </c>
      <c r="CJ33" s="3" t="s">
        <v>192</v>
      </c>
      <c r="CK33" s="3" t="s">
        <v>192</v>
      </c>
      <c r="CL33" s="3" t="s">
        <v>192</v>
      </c>
      <c r="CM33" s="3" t="s">
        <v>192</v>
      </c>
      <c r="CN33" s="3" t="s">
        <v>192</v>
      </c>
      <c r="CO33" s="3" t="s">
        <v>192</v>
      </c>
      <c r="CP33" s="3" t="s">
        <v>192</v>
      </c>
      <c r="CQ33" s="3" t="s">
        <v>192</v>
      </c>
      <c r="CR33" s="3" t="s">
        <v>192</v>
      </c>
      <c r="CS33" s="3" t="s">
        <v>192</v>
      </c>
      <c r="CT33" s="1">
        <f>SUM(Table7[[#This Row],[Acyl_amino_acids]:[T3PKS]])</f>
        <v>3</v>
      </c>
      <c r="CU33" s="3" t="s">
        <v>192</v>
      </c>
      <c r="CW33" s="1" t="str">
        <f>Table7[[#This Row],[NRPS]]</f>
        <v>-</v>
      </c>
      <c r="CX33" s="1">
        <f>SUM(CP33,CR33,CS33,Table7[[#This Row],[T1PKS, T3PKS]])</f>
        <v>0</v>
      </c>
      <c r="CY33" s="1">
        <f t="shared" si="0"/>
        <v>0</v>
      </c>
      <c r="CZ33" s="1">
        <f>Table7[[#This Row],[Terpene]]</f>
        <v>3</v>
      </c>
      <c r="DA33" s="1">
        <f>SUM(Table7[[#This Row],[Thiopeptide]],BH33,BF33,BE33,BC33,AZ33,AX33,AW33,AJ33,AH33,N33,L33,J33,H33,I33,K33,R33,Q33,Table7[[#This Row],[Cyanobactin, LAP]])</f>
        <v>0</v>
      </c>
      <c r="DB33" s="1">
        <f>SUM(CO33,CN33,CL33,CK33,CJ33,CI33,CH33,CF33,CE33,CD33,CB33,CA33,BZ33,BY33,BX33,BW33,BV33,BT33,BR33,BQ33,BP33,BO33,BM33,BK33,BJ33,BI33,BG33,BD33,BB33,BA33,AY33,AV33,AU33,AT33,AS33,AR33,AQ33,AP33,AO33,AN33,AM33,AL33,AK33,AG33,AF33,AE33,AD33,AC33,AB33,AA33,Z33,Y33,X33,W33,V33,U33,T33,S33,P33,O33,M33,Table7[[#This Row],[Acyl_amino_acids]],E33,F33,G33,)</f>
        <v>0</v>
      </c>
    </row>
    <row r="34" spans="1:106" x14ac:dyDescent="0.25">
      <c r="A34" s="9" t="s">
        <v>783</v>
      </c>
      <c r="B34" s="1" t="s">
        <v>435</v>
      </c>
      <c r="C34" s="1" t="s">
        <v>258</v>
      </c>
      <c r="D34" s="3" t="s">
        <v>192</v>
      </c>
      <c r="E34" s="3" t="s">
        <v>192</v>
      </c>
      <c r="F34" s="3" t="s">
        <v>192</v>
      </c>
      <c r="G34" s="3" t="s">
        <v>192</v>
      </c>
      <c r="H34" s="3" t="s">
        <v>192</v>
      </c>
      <c r="I34" s="3" t="s">
        <v>192</v>
      </c>
      <c r="J34" s="3" t="s">
        <v>192</v>
      </c>
      <c r="K34" s="3" t="s">
        <v>192</v>
      </c>
      <c r="L34" s="3" t="s">
        <v>192</v>
      </c>
      <c r="M34" s="3" t="s">
        <v>192</v>
      </c>
      <c r="N34" s="3" t="s">
        <v>192</v>
      </c>
      <c r="O34" s="3" t="s">
        <v>192</v>
      </c>
      <c r="P34" s="3" t="s">
        <v>192</v>
      </c>
      <c r="Q34" s="3" t="s">
        <v>192</v>
      </c>
      <c r="R34" s="3" t="s">
        <v>192</v>
      </c>
      <c r="S34" s="3" t="s">
        <v>192</v>
      </c>
      <c r="T34" s="3" t="s">
        <v>192</v>
      </c>
      <c r="U34" s="3" t="s">
        <v>192</v>
      </c>
      <c r="V34" s="3">
        <v>1</v>
      </c>
      <c r="W34" s="3" t="s">
        <v>192</v>
      </c>
      <c r="X34" s="3" t="s">
        <v>192</v>
      </c>
      <c r="Y34" s="3" t="s">
        <v>192</v>
      </c>
      <c r="Z34" s="3" t="s">
        <v>192</v>
      </c>
      <c r="AA34" s="3" t="s">
        <v>192</v>
      </c>
      <c r="AB34" s="3" t="s">
        <v>192</v>
      </c>
      <c r="AC34" s="3" t="s">
        <v>192</v>
      </c>
      <c r="AD34" s="3" t="s">
        <v>192</v>
      </c>
      <c r="AE34" s="3" t="s">
        <v>192</v>
      </c>
      <c r="AF34" s="3" t="s">
        <v>192</v>
      </c>
      <c r="AG34" s="3" t="s">
        <v>192</v>
      </c>
      <c r="AH34" s="3" t="s">
        <v>192</v>
      </c>
      <c r="AI34" s="3" t="s">
        <v>192</v>
      </c>
      <c r="AJ34" s="3" t="s">
        <v>192</v>
      </c>
      <c r="AK34" s="3" t="s">
        <v>192</v>
      </c>
      <c r="AL34" s="3" t="s">
        <v>192</v>
      </c>
      <c r="AM34" s="3" t="s">
        <v>192</v>
      </c>
      <c r="AN34" s="3" t="s">
        <v>192</v>
      </c>
      <c r="AO34" s="3" t="s">
        <v>192</v>
      </c>
      <c r="AP34" s="3" t="s">
        <v>192</v>
      </c>
      <c r="AQ34" s="3" t="s">
        <v>192</v>
      </c>
      <c r="AR34" s="3" t="s">
        <v>192</v>
      </c>
      <c r="AS34" s="3" t="s">
        <v>192</v>
      </c>
      <c r="AT34" s="3" t="s">
        <v>192</v>
      </c>
      <c r="AU34" s="3" t="s">
        <v>192</v>
      </c>
      <c r="AV34" s="3" t="s">
        <v>192</v>
      </c>
      <c r="AW34" s="3" t="s">
        <v>192</v>
      </c>
      <c r="AX34" s="3" t="s">
        <v>192</v>
      </c>
      <c r="AY34" s="3" t="s">
        <v>192</v>
      </c>
      <c r="AZ34" s="3" t="s">
        <v>192</v>
      </c>
      <c r="BA34" s="3" t="s">
        <v>192</v>
      </c>
      <c r="BB34" s="3" t="s">
        <v>192</v>
      </c>
      <c r="BC34" s="3" t="s">
        <v>192</v>
      </c>
      <c r="BD34" s="3" t="s">
        <v>192</v>
      </c>
      <c r="BE34" s="3" t="s">
        <v>192</v>
      </c>
      <c r="BF34" s="3" t="s">
        <v>192</v>
      </c>
      <c r="BG34" s="3" t="s">
        <v>192</v>
      </c>
      <c r="BH34" s="3" t="s">
        <v>192</v>
      </c>
      <c r="BI34" s="3" t="s">
        <v>192</v>
      </c>
      <c r="BJ34" s="3" t="s">
        <v>192</v>
      </c>
      <c r="BK34" s="3" t="s">
        <v>192</v>
      </c>
      <c r="BL34" s="3" t="s">
        <v>192</v>
      </c>
      <c r="BM34" s="3" t="s">
        <v>192</v>
      </c>
      <c r="BN34" s="3" t="s">
        <v>192</v>
      </c>
      <c r="BO34" s="3" t="s">
        <v>192</v>
      </c>
      <c r="BP34" s="3" t="s">
        <v>192</v>
      </c>
      <c r="BQ34" s="3" t="s">
        <v>192</v>
      </c>
      <c r="BR34" s="3" t="s">
        <v>192</v>
      </c>
      <c r="BS34" s="3" t="s">
        <v>192</v>
      </c>
      <c r="BT34" s="3" t="s">
        <v>192</v>
      </c>
      <c r="BU34" s="3" t="s">
        <v>192</v>
      </c>
      <c r="BV34" s="3" t="s">
        <v>192</v>
      </c>
      <c r="BW34" s="3" t="s">
        <v>192</v>
      </c>
      <c r="BX34" s="3" t="s">
        <v>192</v>
      </c>
      <c r="BY34" s="3" t="s">
        <v>192</v>
      </c>
      <c r="BZ34" s="3" t="s">
        <v>192</v>
      </c>
      <c r="CA34" s="3" t="s">
        <v>192</v>
      </c>
      <c r="CB34" s="3" t="s">
        <v>192</v>
      </c>
      <c r="CC34" s="3" t="s">
        <v>192</v>
      </c>
      <c r="CD34" s="3" t="s">
        <v>192</v>
      </c>
      <c r="CE34" s="3" t="s">
        <v>192</v>
      </c>
      <c r="CF34" s="3" t="s">
        <v>192</v>
      </c>
      <c r="CG34" s="3">
        <v>2</v>
      </c>
      <c r="CH34" s="3" t="s">
        <v>192</v>
      </c>
      <c r="CI34" s="3" t="s">
        <v>192</v>
      </c>
      <c r="CJ34" s="3" t="s">
        <v>192</v>
      </c>
      <c r="CK34" s="3" t="s">
        <v>192</v>
      </c>
      <c r="CL34" s="3" t="s">
        <v>192</v>
      </c>
      <c r="CM34" s="3" t="s">
        <v>192</v>
      </c>
      <c r="CN34" s="3" t="s">
        <v>192</v>
      </c>
      <c r="CO34" s="3" t="s">
        <v>192</v>
      </c>
      <c r="CP34" s="3" t="s">
        <v>192</v>
      </c>
      <c r="CQ34" s="3" t="s">
        <v>192</v>
      </c>
      <c r="CR34" s="3" t="s">
        <v>192</v>
      </c>
      <c r="CS34" s="3" t="s">
        <v>192</v>
      </c>
      <c r="CT34" s="1">
        <f>SUM(Table7[[#This Row],[Acyl_amino_acids]:[T3PKS]])</f>
        <v>3</v>
      </c>
      <c r="CU34" s="3" t="s">
        <v>192</v>
      </c>
      <c r="CW34" s="1" t="str">
        <f>Table7[[#This Row],[NRPS]]</f>
        <v>-</v>
      </c>
      <c r="CX34" s="1">
        <f>SUM(CP34,CR34,CS34,Table7[[#This Row],[T1PKS, T3PKS]])</f>
        <v>0</v>
      </c>
      <c r="CY34" s="1">
        <f t="shared" si="0"/>
        <v>0</v>
      </c>
      <c r="CZ34" s="1">
        <f>Table7[[#This Row],[Terpene]]</f>
        <v>2</v>
      </c>
      <c r="DA34" s="1">
        <f>SUM(Table7[[#This Row],[Thiopeptide]],BH34,BF34,BE34,BC34,AZ34,AX34,AW34,AJ34,AH34,N34,L34,J34,H34,I34,K34,R34,Q34,Table7[[#This Row],[Cyanobactin, LAP]])</f>
        <v>0</v>
      </c>
      <c r="DB34" s="1">
        <f>SUM(CO34,CN34,CL34,CK34,CJ34,CI34,CH34,CF34,CE34,CD34,CB34,CA34,BZ34,BY34,BX34,BW34,BV34,BT34,BR34,BQ34,BP34,BO34,BM34,BK34,BJ34,BI34,BG34,BD34,BB34,BA34,AY34,AV34,AU34,AT34,AS34,AR34,AQ34,AP34,AO34,AN34,AM34,AL34,AK34,AG34,AF34,AE34,AD34,AC34,AB34,AA34,Z34,Y34,X34,W34,V34,U34,T34,S34,P34,O34,M34,Table7[[#This Row],[Acyl_amino_acids]],E34,F34,G34,)</f>
        <v>1</v>
      </c>
    </row>
    <row r="35" spans="1:106" x14ac:dyDescent="0.25">
      <c r="A35" s="9" t="s">
        <v>785</v>
      </c>
      <c r="B35" s="1" t="s">
        <v>435</v>
      </c>
      <c r="C35" s="1" t="s">
        <v>259</v>
      </c>
      <c r="D35" s="3" t="s">
        <v>192</v>
      </c>
      <c r="E35" s="3" t="s">
        <v>192</v>
      </c>
      <c r="F35" s="3" t="s">
        <v>192</v>
      </c>
      <c r="G35" s="3" t="s">
        <v>192</v>
      </c>
      <c r="H35" s="3" t="s">
        <v>192</v>
      </c>
      <c r="I35" s="3" t="s">
        <v>192</v>
      </c>
      <c r="J35" s="3" t="s">
        <v>192</v>
      </c>
      <c r="K35" s="3" t="s">
        <v>192</v>
      </c>
      <c r="L35" s="3" t="s">
        <v>192</v>
      </c>
      <c r="M35" s="3" t="s">
        <v>192</v>
      </c>
      <c r="N35" s="3" t="s">
        <v>192</v>
      </c>
      <c r="O35" s="3" t="s">
        <v>192</v>
      </c>
      <c r="P35" s="3" t="s">
        <v>192</v>
      </c>
      <c r="Q35" s="3" t="s">
        <v>192</v>
      </c>
      <c r="R35" s="3" t="s">
        <v>192</v>
      </c>
      <c r="S35" s="3" t="s">
        <v>192</v>
      </c>
      <c r="T35" s="3" t="s">
        <v>192</v>
      </c>
      <c r="U35" s="3" t="s">
        <v>192</v>
      </c>
      <c r="V35" s="3" t="s">
        <v>192</v>
      </c>
      <c r="W35" s="3" t="s">
        <v>192</v>
      </c>
      <c r="X35" s="3" t="s">
        <v>192</v>
      </c>
      <c r="Y35" s="3" t="s">
        <v>192</v>
      </c>
      <c r="Z35" s="3" t="s">
        <v>192</v>
      </c>
      <c r="AA35" s="3" t="s">
        <v>192</v>
      </c>
      <c r="AB35" s="3" t="s">
        <v>192</v>
      </c>
      <c r="AC35" s="3" t="s">
        <v>192</v>
      </c>
      <c r="AD35" s="3" t="s">
        <v>192</v>
      </c>
      <c r="AE35" s="3" t="s">
        <v>192</v>
      </c>
      <c r="AF35" s="3" t="s">
        <v>192</v>
      </c>
      <c r="AG35" s="3" t="s">
        <v>192</v>
      </c>
      <c r="AH35" s="3" t="s">
        <v>192</v>
      </c>
      <c r="AI35" s="3" t="s">
        <v>192</v>
      </c>
      <c r="AJ35" s="3" t="s">
        <v>192</v>
      </c>
      <c r="AK35" s="3" t="s">
        <v>192</v>
      </c>
      <c r="AL35" s="3" t="s">
        <v>192</v>
      </c>
      <c r="AM35" s="3" t="s">
        <v>192</v>
      </c>
      <c r="AN35" s="3" t="s">
        <v>192</v>
      </c>
      <c r="AO35" s="3" t="s">
        <v>192</v>
      </c>
      <c r="AP35" s="3" t="s">
        <v>192</v>
      </c>
      <c r="AQ35" s="3" t="s">
        <v>192</v>
      </c>
      <c r="AR35" s="3" t="s">
        <v>192</v>
      </c>
      <c r="AS35" s="3">
        <v>1</v>
      </c>
      <c r="AT35" s="3" t="s">
        <v>192</v>
      </c>
      <c r="AU35" s="3" t="s">
        <v>192</v>
      </c>
      <c r="AV35" s="3" t="s">
        <v>192</v>
      </c>
      <c r="AW35" s="3" t="s">
        <v>192</v>
      </c>
      <c r="AX35" s="3" t="s">
        <v>192</v>
      </c>
      <c r="AY35" s="3" t="s">
        <v>192</v>
      </c>
      <c r="AZ35" s="3" t="s">
        <v>192</v>
      </c>
      <c r="BA35" s="3" t="s">
        <v>192</v>
      </c>
      <c r="BB35" s="3" t="s">
        <v>192</v>
      </c>
      <c r="BC35" s="3" t="s">
        <v>192</v>
      </c>
      <c r="BD35" s="3" t="s">
        <v>192</v>
      </c>
      <c r="BE35" s="3" t="s">
        <v>192</v>
      </c>
      <c r="BF35" s="3" t="s">
        <v>192</v>
      </c>
      <c r="BG35" s="3" t="s">
        <v>192</v>
      </c>
      <c r="BH35" s="3" t="s">
        <v>192</v>
      </c>
      <c r="BI35" s="3" t="s">
        <v>192</v>
      </c>
      <c r="BJ35" s="3" t="s">
        <v>192</v>
      </c>
      <c r="BK35" s="3" t="s">
        <v>192</v>
      </c>
      <c r="BL35" s="3">
        <v>1</v>
      </c>
      <c r="BM35" s="3" t="s">
        <v>192</v>
      </c>
      <c r="BN35" s="3" t="s">
        <v>192</v>
      </c>
      <c r="BO35" s="3" t="s">
        <v>192</v>
      </c>
      <c r="BP35" s="3" t="s">
        <v>192</v>
      </c>
      <c r="BQ35" s="3" t="s">
        <v>192</v>
      </c>
      <c r="BR35" s="3" t="s">
        <v>192</v>
      </c>
      <c r="BS35" s="3">
        <v>1</v>
      </c>
      <c r="BT35" s="3" t="s">
        <v>192</v>
      </c>
      <c r="BU35" s="3" t="s">
        <v>192</v>
      </c>
      <c r="BV35" s="3" t="s">
        <v>192</v>
      </c>
      <c r="BW35" s="3" t="s">
        <v>192</v>
      </c>
      <c r="BX35" s="3" t="s">
        <v>192</v>
      </c>
      <c r="BY35" s="3" t="s">
        <v>192</v>
      </c>
      <c r="BZ35" s="3" t="s">
        <v>192</v>
      </c>
      <c r="CA35" s="3" t="s">
        <v>192</v>
      </c>
      <c r="CB35" s="3" t="s">
        <v>192</v>
      </c>
      <c r="CC35" s="3" t="s">
        <v>192</v>
      </c>
      <c r="CD35" s="3" t="s">
        <v>192</v>
      </c>
      <c r="CE35" s="3" t="s">
        <v>192</v>
      </c>
      <c r="CF35" s="3" t="s">
        <v>192</v>
      </c>
      <c r="CG35" s="3">
        <v>1</v>
      </c>
      <c r="CH35" s="3" t="s">
        <v>192</v>
      </c>
      <c r="CI35" s="3" t="s">
        <v>192</v>
      </c>
      <c r="CJ35" s="3" t="s">
        <v>192</v>
      </c>
      <c r="CK35" s="3" t="s">
        <v>192</v>
      </c>
      <c r="CL35" s="3" t="s">
        <v>192</v>
      </c>
      <c r="CM35" s="3" t="s">
        <v>192</v>
      </c>
      <c r="CN35" s="3" t="s">
        <v>192</v>
      </c>
      <c r="CO35" s="3" t="s">
        <v>192</v>
      </c>
      <c r="CP35" s="3" t="s">
        <v>192</v>
      </c>
      <c r="CQ35" s="3" t="s">
        <v>192</v>
      </c>
      <c r="CR35" s="3" t="s">
        <v>192</v>
      </c>
      <c r="CS35" s="3" t="s">
        <v>192</v>
      </c>
      <c r="CT35" s="1">
        <f>SUM(Table7[[#This Row],[Acyl_amino_acids]:[T3PKS]])</f>
        <v>4</v>
      </c>
      <c r="CU35" s="3" t="s">
        <v>192</v>
      </c>
      <c r="CW35" s="1">
        <f>Table7[[#This Row],[NRPS]]</f>
        <v>1</v>
      </c>
      <c r="CX35" s="1">
        <f>SUM(CP35,CR35,CS35,Table7[[#This Row],[T1PKS, T3PKS]])</f>
        <v>0</v>
      </c>
      <c r="CY35" s="1">
        <f t="shared" si="0"/>
        <v>1</v>
      </c>
      <c r="CZ35" s="1">
        <f>Table7[[#This Row],[Terpene]]</f>
        <v>1</v>
      </c>
      <c r="DA35" s="1">
        <f>SUM(Table7[[#This Row],[Thiopeptide]],BH35,BF35,BE35,BC35,AZ35,AX35,AW35,AJ35,AH35,N35,L35,J35,H35,I35,K35,R35,Q35,Table7[[#This Row],[Cyanobactin, LAP]])</f>
        <v>0</v>
      </c>
      <c r="DB35" s="1">
        <f>SUM(CO35,CN35,CL35,CK35,CJ35,CI35,CH35,CF35,CE35,CD35,CB35,CA35,BZ35,BY35,BX35,BW35,BV35,BT35,BR35,BQ35,BP35,BO35,BM35,BK35,BJ35,BI35,BG35,BD35,BB35,BA35,AY35,AV35,AU35,AT35,AS35,AR35,AQ35,AP35,AO35,AN35,AM35,AL35,AK35,AG35,AF35,AE35,AD35,AC35,AB35,AA35,Z35,Y35,X35,W35,V35,U35,T35,S35,P35,O35,M35,Table7[[#This Row],[Acyl_amino_acids]],E35,F35,G35,)</f>
        <v>1</v>
      </c>
    </row>
    <row r="36" spans="1:106" x14ac:dyDescent="0.25">
      <c r="A36" s="9" t="s">
        <v>722</v>
      </c>
      <c r="B36" s="1" t="s">
        <v>435</v>
      </c>
      <c r="C36" s="1" t="s">
        <v>512</v>
      </c>
      <c r="D36" s="1" t="s">
        <v>192</v>
      </c>
      <c r="E36" s="3" t="s">
        <v>192</v>
      </c>
      <c r="F36" s="3" t="s">
        <v>192</v>
      </c>
      <c r="G36" s="3" t="s">
        <v>192</v>
      </c>
      <c r="H36" s="3" t="s">
        <v>192</v>
      </c>
      <c r="I36" s="3" t="s">
        <v>192</v>
      </c>
      <c r="J36" s="3" t="s">
        <v>192</v>
      </c>
      <c r="K36" s="3" t="s">
        <v>192</v>
      </c>
      <c r="L36" s="3" t="s">
        <v>192</v>
      </c>
      <c r="M36" s="3" t="s">
        <v>192</v>
      </c>
      <c r="N36" s="3" t="s">
        <v>192</v>
      </c>
      <c r="O36" s="3" t="s">
        <v>192</v>
      </c>
      <c r="P36" s="3" t="s">
        <v>192</v>
      </c>
      <c r="Q36" s="3" t="s">
        <v>192</v>
      </c>
      <c r="R36" s="3" t="s">
        <v>192</v>
      </c>
      <c r="S36" s="3" t="s">
        <v>192</v>
      </c>
      <c r="T36" s="3" t="s">
        <v>192</v>
      </c>
      <c r="U36" s="3" t="s">
        <v>192</v>
      </c>
      <c r="V36" s="3" t="s">
        <v>192</v>
      </c>
      <c r="W36" s="3" t="s">
        <v>192</v>
      </c>
      <c r="X36" s="3" t="s">
        <v>192</v>
      </c>
      <c r="Y36" s="3" t="s">
        <v>192</v>
      </c>
      <c r="Z36" s="3" t="s">
        <v>192</v>
      </c>
      <c r="AA36" s="3" t="s">
        <v>192</v>
      </c>
      <c r="AB36" s="3" t="s">
        <v>192</v>
      </c>
      <c r="AC36" s="3" t="s">
        <v>192</v>
      </c>
      <c r="AD36" s="3" t="s">
        <v>192</v>
      </c>
      <c r="AE36" s="3" t="s">
        <v>192</v>
      </c>
      <c r="AF36" s="3" t="s">
        <v>192</v>
      </c>
      <c r="AG36" s="3" t="s">
        <v>192</v>
      </c>
      <c r="AH36" s="3" t="s">
        <v>192</v>
      </c>
      <c r="AI36" s="3" t="s">
        <v>192</v>
      </c>
      <c r="AJ36" s="3" t="s">
        <v>192</v>
      </c>
      <c r="AK36" s="3" t="s">
        <v>192</v>
      </c>
      <c r="AL36" s="3" t="s">
        <v>192</v>
      </c>
      <c r="AM36" s="3" t="s">
        <v>192</v>
      </c>
      <c r="AN36" s="3" t="s">
        <v>192</v>
      </c>
      <c r="AO36" s="3" t="s">
        <v>192</v>
      </c>
      <c r="AP36" s="3" t="s">
        <v>192</v>
      </c>
      <c r="AQ36" s="3" t="s">
        <v>192</v>
      </c>
      <c r="AR36" s="3" t="s">
        <v>192</v>
      </c>
      <c r="AS36" s="3" t="s">
        <v>192</v>
      </c>
      <c r="AT36" s="3" t="s">
        <v>192</v>
      </c>
      <c r="AU36" s="3" t="s">
        <v>192</v>
      </c>
      <c r="AV36" s="3" t="s">
        <v>192</v>
      </c>
      <c r="AW36" s="3" t="s">
        <v>192</v>
      </c>
      <c r="AX36" s="3" t="s">
        <v>192</v>
      </c>
      <c r="AY36" s="3" t="s">
        <v>192</v>
      </c>
      <c r="AZ36" s="3" t="s">
        <v>192</v>
      </c>
      <c r="BA36" s="3" t="s">
        <v>192</v>
      </c>
      <c r="BB36" s="3" t="s">
        <v>192</v>
      </c>
      <c r="BC36" s="3" t="s">
        <v>192</v>
      </c>
      <c r="BD36" s="3" t="s">
        <v>192</v>
      </c>
      <c r="BE36" s="3" t="s">
        <v>192</v>
      </c>
      <c r="BF36" s="3" t="s">
        <v>192</v>
      </c>
      <c r="BG36" s="3" t="s">
        <v>192</v>
      </c>
      <c r="BH36" s="3" t="s">
        <v>192</v>
      </c>
      <c r="BI36" s="3" t="s">
        <v>192</v>
      </c>
      <c r="BJ36" s="3" t="s">
        <v>192</v>
      </c>
      <c r="BK36" s="3" t="s">
        <v>192</v>
      </c>
      <c r="BL36" s="3">
        <v>1</v>
      </c>
      <c r="BM36" s="3" t="s">
        <v>192</v>
      </c>
      <c r="BN36" s="3" t="s">
        <v>192</v>
      </c>
      <c r="BO36" s="3" t="s">
        <v>192</v>
      </c>
      <c r="BP36" s="3" t="s">
        <v>192</v>
      </c>
      <c r="BQ36" s="3" t="s">
        <v>192</v>
      </c>
      <c r="BR36" s="3" t="s">
        <v>192</v>
      </c>
      <c r="BS36" s="3">
        <v>1</v>
      </c>
      <c r="BT36" s="3" t="s">
        <v>192</v>
      </c>
      <c r="BU36" s="3" t="s">
        <v>192</v>
      </c>
      <c r="BV36" s="3" t="s">
        <v>192</v>
      </c>
      <c r="BW36" s="3" t="s">
        <v>192</v>
      </c>
      <c r="BX36" s="3" t="s">
        <v>192</v>
      </c>
      <c r="BY36" s="3" t="s">
        <v>192</v>
      </c>
      <c r="BZ36" s="3" t="s">
        <v>192</v>
      </c>
      <c r="CA36" s="3" t="s">
        <v>192</v>
      </c>
      <c r="CB36" s="3" t="s">
        <v>192</v>
      </c>
      <c r="CC36" s="3" t="s">
        <v>192</v>
      </c>
      <c r="CD36" s="3" t="s">
        <v>192</v>
      </c>
      <c r="CE36" s="3" t="s">
        <v>192</v>
      </c>
      <c r="CF36" s="3" t="s">
        <v>192</v>
      </c>
      <c r="CG36" s="3">
        <v>1</v>
      </c>
      <c r="CH36" s="3" t="s">
        <v>192</v>
      </c>
      <c r="CI36" s="3" t="s">
        <v>192</v>
      </c>
      <c r="CJ36" s="3" t="s">
        <v>192</v>
      </c>
      <c r="CK36" s="3" t="s">
        <v>192</v>
      </c>
      <c r="CL36" s="3" t="s">
        <v>192</v>
      </c>
      <c r="CM36" s="3" t="s">
        <v>192</v>
      </c>
      <c r="CN36" s="3" t="s">
        <v>192</v>
      </c>
      <c r="CO36" s="3" t="s">
        <v>192</v>
      </c>
      <c r="CP36" s="3" t="s">
        <v>192</v>
      </c>
      <c r="CQ36" s="3" t="s">
        <v>192</v>
      </c>
      <c r="CR36" s="3" t="s">
        <v>192</v>
      </c>
      <c r="CS36" s="3" t="s">
        <v>192</v>
      </c>
      <c r="CT36" s="1">
        <f>SUM(Table7[[#This Row],[Acyl_amino_acids]:[T3PKS]])</f>
        <v>3</v>
      </c>
      <c r="CU36" s="3" t="s">
        <v>192</v>
      </c>
      <c r="CW36" s="1">
        <f>Table7[[#This Row],[NRPS]]</f>
        <v>1</v>
      </c>
      <c r="CX36" s="1">
        <f>SUM(CP36,CR36,CS36,Table7[[#This Row],[T1PKS, T3PKS]])</f>
        <v>0</v>
      </c>
      <c r="CY36" s="1">
        <f t="shared" si="0"/>
        <v>1</v>
      </c>
      <c r="CZ36" s="1">
        <f>Table7[[#This Row],[Terpene]]</f>
        <v>1</v>
      </c>
      <c r="DA36" s="1">
        <f>SUM(Table7[[#This Row],[Thiopeptide]],BH36,BF36,BE36,BC36,AZ36,AX36,AW36,AJ36,AH36,N36,L36,J36,H36,I36,K36,R36,Q36,Table7[[#This Row],[Cyanobactin, LAP]])</f>
        <v>0</v>
      </c>
      <c r="DB36" s="1">
        <f>SUM(CO36,CN36,CL36,CK36,CJ36,CI36,CH36,CF36,CE36,CD36,CB36,CA36,BZ36,BY36,BX36,BW36,BV36,BT36,BR36,BQ36,BP36,BO36,BM36,BK36,BJ36,BI36,BG36,BD36,BB36,BA36,AY36,AV36,AU36,AT36,AS36,AR36,AQ36,AP36,AO36,AN36,AM36,AL36,AK36,AG36,AF36,AE36,AD36,AC36,AB36,AA36,Z36,Y36,X36,W36,V36,U36,T36,S36,P36,O36,M36,Table7[[#This Row],[Acyl_amino_acids]],E36,F36,G36,)</f>
        <v>0</v>
      </c>
    </row>
    <row r="37" spans="1:106" x14ac:dyDescent="0.25">
      <c r="A37" s="9" t="s">
        <v>707</v>
      </c>
      <c r="B37" s="1" t="s">
        <v>435</v>
      </c>
      <c r="C37" s="1" t="s">
        <v>260</v>
      </c>
      <c r="D37" s="1" t="s">
        <v>192</v>
      </c>
      <c r="E37" s="1" t="s">
        <v>192</v>
      </c>
      <c r="F37" s="3" t="s">
        <v>192</v>
      </c>
      <c r="G37" s="3" t="s">
        <v>192</v>
      </c>
      <c r="H37" s="3">
        <v>4</v>
      </c>
      <c r="I37" s="3" t="s">
        <v>192</v>
      </c>
      <c r="J37" s="3" t="s">
        <v>192</v>
      </c>
      <c r="K37" s="3" t="s">
        <v>192</v>
      </c>
      <c r="L37" s="3" t="s">
        <v>192</v>
      </c>
      <c r="M37" s="3" t="s">
        <v>192</v>
      </c>
      <c r="N37" s="3" t="s">
        <v>192</v>
      </c>
      <c r="O37" s="3" t="s">
        <v>192</v>
      </c>
      <c r="P37" s="3" t="s">
        <v>192</v>
      </c>
      <c r="Q37" s="3" t="s">
        <v>192</v>
      </c>
      <c r="R37" s="3" t="s">
        <v>192</v>
      </c>
      <c r="S37" s="3" t="s">
        <v>192</v>
      </c>
      <c r="T37" s="3" t="s">
        <v>192</v>
      </c>
      <c r="U37" s="3" t="s">
        <v>192</v>
      </c>
      <c r="V37" s="1" t="s">
        <v>192</v>
      </c>
      <c r="W37" s="1" t="s">
        <v>192</v>
      </c>
      <c r="X37" s="1" t="s">
        <v>192</v>
      </c>
      <c r="Y37" s="3" t="s">
        <v>192</v>
      </c>
      <c r="Z37" s="3" t="s">
        <v>192</v>
      </c>
      <c r="AA37" s="3" t="s">
        <v>192</v>
      </c>
      <c r="AB37" s="3" t="s">
        <v>192</v>
      </c>
      <c r="AC37" s="3" t="s">
        <v>192</v>
      </c>
      <c r="AD37" s="3" t="s">
        <v>192</v>
      </c>
      <c r="AE37" s="1" t="s">
        <v>192</v>
      </c>
      <c r="AF37" s="1" t="s">
        <v>192</v>
      </c>
      <c r="AG37" s="1" t="s">
        <v>192</v>
      </c>
      <c r="AH37" s="3" t="s">
        <v>192</v>
      </c>
      <c r="AI37" s="3" t="s">
        <v>192</v>
      </c>
      <c r="AJ37" s="3" t="s">
        <v>192</v>
      </c>
      <c r="AK37" s="3" t="s">
        <v>192</v>
      </c>
      <c r="AL37" s="3" t="s">
        <v>192</v>
      </c>
      <c r="AM37" s="3" t="s">
        <v>192</v>
      </c>
      <c r="AN37" s="3" t="s">
        <v>192</v>
      </c>
      <c r="AO37" s="1" t="s">
        <v>192</v>
      </c>
      <c r="AP37" s="1" t="s">
        <v>192</v>
      </c>
      <c r="AQ37" s="3" t="s">
        <v>192</v>
      </c>
      <c r="AR37" s="1" t="s">
        <v>192</v>
      </c>
      <c r="AS37" s="1" t="s">
        <v>192</v>
      </c>
      <c r="AT37" s="1" t="s">
        <v>192</v>
      </c>
      <c r="AU37" s="1" t="s">
        <v>192</v>
      </c>
      <c r="AV37" s="1" t="s">
        <v>192</v>
      </c>
      <c r="AW37" s="3" t="s">
        <v>192</v>
      </c>
      <c r="AX37" s="3" t="s">
        <v>192</v>
      </c>
      <c r="AY37" s="3" t="s">
        <v>192</v>
      </c>
      <c r="AZ37" s="3" t="s">
        <v>192</v>
      </c>
      <c r="BA37" s="3" t="s">
        <v>192</v>
      </c>
      <c r="BB37" s="3" t="s">
        <v>192</v>
      </c>
      <c r="BC37" s="3" t="s">
        <v>192</v>
      </c>
      <c r="BD37" s="3" t="s">
        <v>192</v>
      </c>
      <c r="BE37" s="3" t="s">
        <v>192</v>
      </c>
      <c r="BF37" s="3" t="s">
        <v>192</v>
      </c>
      <c r="BG37" s="3" t="s">
        <v>192</v>
      </c>
      <c r="BH37" s="3" t="s">
        <v>192</v>
      </c>
      <c r="BI37" s="3" t="s">
        <v>192</v>
      </c>
      <c r="BJ37" s="3" t="s">
        <v>192</v>
      </c>
      <c r="BK37" s="3" t="s">
        <v>192</v>
      </c>
      <c r="BL37" s="3" t="s">
        <v>192</v>
      </c>
      <c r="BM37" s="3" t="s">
        <v>192</v>
      </c>
      <c r="BN37" s="3" t="s">
        <v>192</v>
      </c>
      <c r="BO37" s="3" t="s">
        <v>192</v>
      </c>
      <c r="BP37" s="3" t="s">
        <v>192</v>
      </c>
      <c r="BQ37" s="3" t="s">
        <v>192</v>
      </c>
      <c r="BR37" s="3" t="s">
        <v>192</v>
      </c>
      <c r="BS37" s="3" t="s">
        <v>192</v>
      </c>
      <c r="BT37" s="3" t="s">
        <v>192</v>
      </c>
      <c r="BU37" s="3" t="s">
        <v>192</v>
      </c>
      <c r="BV37" s="3" t="s">
        <v>192</v>
      </c>
      <c r="BW37" s="3" t="s">
        <v>192</v>
      </c>
      <c r="BX37" s="3" t="s">
        <v>192</v>
      </c>
      <c r="BY37" s="3" t="s">
        <v>192</v>
      </c>
      <c r="BZ37" s="3" t="s">
        <v>192</v>
      </c>
      <c r="CA37" s="3" t="s">
        <v>192</v>
      </c>
      <c r="CB37" s="3" t="s">
        <v>192</v>
      </c>
      <c r="CC37" s="3" t="s">
        <v>192</v>
      </c>
      <c r="CD37" s="3" t="s">
        <v>192</v>
      </c>
      <c r="CE37" s="3" t="s">
        <v>192</v>
      </c>
      <c r="CF37" s="3" t="s">
        <v>192</v>
      </c>
      <c r="CG37" s="1">
        <v>1</v>
      </c>
      <c r="CH37" s="1" t="s">
        <v>192</v>
      </c>
      <c r="CI37" s="1" t="s">
        <v>192</v>
      </c>
      <c r="CJ37" s="1">
        <v>1</v>
      </c>
      <c r="CK37" s="1" t="s">
        <v>192</v>
      </c>
      <c r="CL37" s="1" t="s">
        <v>192</v>
      </c>
      <c r="CM37" s="1" t="s">
        <v>192</v>
      </c>
      <c r="CN37" s="1" t="s">
        <v>192</v>
      </c>
      <c r="CO37" s="1" t="s">
        <v>192</v>
      </c>
      <c r="CP37" s="1" t="s">
        <v>192</v>
      </c>
      <c r="CQ37" s="1" t="s">
        <v>192</v>
      </c>
      <c r="CR37" s="1" t="s">
        <v>192</v>
      </c>
      <c r="CS37" s="1">
        <v>1</v>
      </c>
      <c r="CT37" s="1">
        <f>SUM(Table7[[#This Row],[Acyl_amino_acids]:[T3PKS]])</f>
        <v>7</v>
      </c>
      <c r="CU37" s="3" t="s">
        <v>192</v>
      </c>
      <c r="CW37" s="1" t="str">
        <f>Table7[[#This Row],[NRPS]]</f>
        <v>-</v>
      </c>
      <c r="CX37" s="1">
        <f>SUM(CP37,CR37,CS37,Table7[[#This Row],[T1PKS, T3PKS]])</f>
        <v>1</v>
      </c>
      <c r="CY37" s="1">
        <f t="shared" si="0"/>
        <v>0</v>
      </c>
      <c r="CZ37" s="1">
        <f>Table7[[#This Row],[Terpene]]</f>
        <v>1</v>
      </c>
      <c r="DA37" s="1">
        <f>SUM(Table7[[#This Row],[Thiopeptide]],BH37,BF37,BE37,BC37,AZ37,AX37,AW37,AJ37,AH37,N37,L37,J37,H37,I37,K37,R37,Q37,Table7[[#This Row],[Cyanobactin, LAP]])</f>
        <v>4</v>
      </c>
      <c r="DB37" s="1">
        <f>SUM(CO37,CN37,CL37,CK37,CJ37,CI37,CH37,CF37,CE37,CD37,CB37,CA37,BZ37,BY37,BX37,BW37,BV37,BT37,BR37,BQ37,BP37,BO37,BM37,BK37,BJ37,BI37,BG37,BD37,BB37,BA37,AY37,AV37,AU37,AT37,AS37,AR37,AQ37,AP37,AO37,AN37,AM37,AL37,AK37,AG37,AF37,AE37,AD37,AC37,AB37,AA37,Z37,Y37,X37,W37,V37,U37,T37,S37,P37,O37,M37,Table7[[#This Row],[Acyl_amino_acids]],E37,F37,G37,)</f>
        <v>1</v>
      </c>
    </row>
    <row r="38" spans="1:106" x14ac:dyDescent="0.25">
      <c r="A38" s="9" t="s">
        <v>754</v>
      </c>
      <c r="B38" s="1" t="s">
        <v>435</v>
      </c>
      <c r="C38" s="1" t="s">
        <v>261</v>
      </c>
      <c r="D38" s="1" t="s">
        <v>192</v>
      </c>
      <c r="E38" s="3" t="s">
        <v>192</v>
      </c>
      <c r="F38" s="3" t="s">
        <v>192</v>
      </c>
      <c r="G38" s="3" t="s">
        <v>192</v>
      </c>
      <c r="H38" s="3">
        <v>5</v>
      </c>
      <c r="I38" s="3" t="s">
        <v>192</v>
      </c>
      <c r="J38" s="3" t="s">
        <v>192</v>
      </c>
      <c r="K38" s="3" t="s">
        <v>192</v>
      </c>
      <c r="L38" s="3" t="s">
        <v>192</v>
      </c>
      <c r="M38" s="3" t="s">
        <v>192</v>
      </c>
      <c r="N38" s="3" t="s">
        <v>192</v>
      </c>
      <c r="O38" s="3" t="s">
        <v>192</v>
      </c>
      <c r="P38" s="3" t="s">
        <v>192</v>
      </c>
      <c r="Q38" s="3" t="s">
        <v>192</v>
      </c>
      <c r="R38" s="3" t="s">
        <v>192</v>
      </c>
      <c r="S38" s="3" t="s">
        <v>192</v>
      </c>
      <c r="T38" s="3" t="s">
        <v>192</v>
      </c>
      <c r="U38" s="3" t="s">
        <v>192</v>
      </c>
      <c r="V38" s="3" t="s">
        <v>192</v>
      </c>
      <c r="W38" s="3" t="s">
        <v>192</v>
      </c>
      <c r="X38" s="3" t="s">
        <v>192</v>
      </c>
      <c r="Y38" s="3" t="s">
        <v>192</v>
      </c>
      <c r="Z38" s="3" t="s">
        <v>192</v>
      </c>
      <c r="AA38" s="3" t="s">
        <v>192</v>
      </c>
      <c r="AB38" s="3" t="s">
        <v>192</v>
      </c>
      <c r="AC38" s="3" t="s">
        <v>192</v>
      </c>
      <c r="AD38" s="3" t="s">
        <v>192</v>
      </c>
      <c r="AE38" s="3" t="s">
        <v>192</v>
      </c>
      <c r="AF38" s="3" t="s">
        <v>192</v>
      </c>
      <c r="AG38" s="3" t="s">
        <v>192</v>
      </c>
      <c r="AH38" s="3" t="s">
        <v>192</v>
      </c>
      <c r="AI38" s="3" t="s">
        <v>192</v>
      </c>
      <c r="AJ38" s="3" t="s">
        <v>192</v>
      </c>
      <c r="AK38" s="3" t="s">
        <v>192</v>
      </c>
      <c r="AL38" s="3" t="s">
        <v>192</v>
      </c>
      <c r="AM38" s="3" t="s">
        <v>192</v>
      </c>
      <c r="AN38" s="3" t="s">
        <v>192</v>
      </c>
      <c r="AO38" s="3" t="s">
        <v>192</v>
      </c>
      <c r="AP38" s="3" t="s">
        <v>192</v>
      </c>
      <c r="AQ38" s="3" t="s">
        <v>192</v>
      </c>
      <c r="AR38" s="3" t="s">
        <v>192</v>
      </c>
      <c r="AS38" s="3" t="s">
        <v>192</v>
      </c>
      <c r="AT38" s="3" t="s">
        <v>192</v>
      </c>
      <c r="AU38" s="3" t="s">
        <v>192</v>
      </c>
      <c r="AV38" s="3" t="s">
        <v>192</v>
      </c>
      <c r="AW38" s="3" t="s">
        <v>192</v>
      </c>
      <c r="AX38" s="3" t="s">
        <v>192</v>
      </c>
      <c r="AY38" s="3" t="s">
        <v>192</v>
      </c>
      <c r="AZ38" s="3" t="s">
        <v>192</v>
      </c>
      <c r="BA38" s="3" t="s">
        <v>192</v>
      </c>
      <c r="BB38" s="3" t="s">
        <v>192</v>
      </c>
      <c r="BC38" s="3" t="s">
        <v>192</v>
      </c>
      <c r="BD38" s="3" t="s">
        <v>192</v>
      </c>
      <c r="BE38" s="3" t="s">
        <v>192</v>
      </c>
      <c r="BF38" s="3" t="s">
        <v>192</v>
      </c>
      <c r="BG38" s="3" t="s">
        <v>192</v>
      </c>
      <c r="BH38" s="3" t="s">
        <v>192</v>
      </c>
      <c r="BI38" s="3" t="s">
        <v>192</v>
      </c>
      <c r="BJ38" s="3" t="s">
        <v>192</v>
      </c>
      <c r="BK38" s="3" t="s">
        <v>192</v>
      </c>
      <c r="BL38" s="3" t="s">
        <v>192</v>
      </c>
      <c r="BM38" s="3" t="s">
        <v>192</v>
      </c>
      <c r="BN38" s="3" t="s">
        <v>192</v>
      </c>
      <c r="BO38" s="3" t="s">
        <v>192</v>
      </c>
      <c r="BP38" s="3" t="s">
        <v>192</v>
      </c>
      <c r="BQ38" s="3" t="s">
        <v>192</v>
      </c>
      <c r="BR38" s="3" t="s">
        <v>192</v>
      </c>
      <c r="BS38" s="3" t="s">
        <v>192</v>
      </c>
      <c r="BT38" s="3" t="s">
        <v>192</v>
      </c>
      <c r="BU38" s="3" t="s">
        <v>192</v>
      </c>
      <c r="BV38" s="3" t="s">
        <v>192</v>
      </c>
      <c r="BW38" s="3" t="s">
        <v>192</v>
      </c>
      <c r="BX38" s="3" t="s">
        <v>192</v>
      </c>
      <c r="BY38" s="3" t="s">
        <v>192</v>
      </c>
      <c r="BZ38" s="3" t="s">
        <v>192</v>
      </c>
      <c r="CA38" s="3" t="s">
        <v>192</v>
      </c>
      <c r="CB38" s="3" t="s">
        <v>192</v>
      </c>
      <c r="CC38" s="3" t="s">
        <v>192</v>
      </c>
      <c r="CD38" s="3" t="s">
        <v>192</v>
      </c>
      <c r="CE38" s="3" t="s">
        <v>192</v>
      </c>
      <c r="CF38" s="3" t="s">
        <v>192</v>
      </c>
      <c r="CG38" s="3">
        <v>2</v>
      </c>
      <c r="CH38" s="3" t="s">
        <v>192</v>
      </c>
      <c r="CI38" s="3" t="s">
        <v>192</v>
      </c>
      <c r="CJ38" s="3" t="s">
        <v>192</v>
      </c>
      <c r="CK38" s="3" t="s">
        <v>192</v>
      </c>
      <c r="CL38" s="3" t="s">
        <v>192</v>
      </c>
      <c r="CM38" s="3" t="s">
        <v>192</v>
      </c>
      <c r="CN38" s="3" t="s">
        <v>192</v>
      </c>
      <c r="CO38" s="3" t="s">
        <v>192</v>
      </c>
      <c r="CP38" s="3" t="s">
        <v>192</v>
      </c>
      <c r="CQ38" s="3" t="s">
        <v>192</v>
      </c>
      <c r="CR38" s="3" t="s">
        <v>192</v>
      </c>
      <c r="CS38" s="3">
        <v>1</v>
      </c>
      <c r="CT38" s="1">
        <f>SUM(Table7[[#This Row],[Acyl_amino_acids]:[T3PKS]])</f>
        <v>8</v>
      </c>
      <c r="CU38" s="3" t="s">
        <v>192</v>
      </c>
      <c r="CW38" s="1" t="str">
        <f>Table7[[#This Row],[NRPS]]</f>
        <v>-</v>
      </c>
      <c r="CX38" s="1">
        <f>SUM(CP38,CR38,CS38,Table7[[#This Row],[T1PKS, T3PKS]])</f>
        <v>1</v>
      </c>
      <c r="CY38" s="1">
        <f t="shared" si="0"/>
        <v>0</v>
      </c>
      <c r="CZ38" s="1">
        <f>Table7[[#This Row],[Terpene]]</f>
        <v>2</v>
      </c>
      <c r="DA38" s="1">
        <f>SUM(Table7[[#This Row],[Thiopeptide]],BH38,BF38,BE38,BC38,AZ38,AX38,AW38,AJ38,AH38,N38,L38,J38,H38,I38,K38,R38,Q38,Table7[[#This Row],[Cyanobactin, LAP]])</f>
        <v>5</v>
      </c>
      <c r="DB38" s="1">
        <f>SUM(CO38,CN38,CL38,CK38,CJ38,CI38,CH38,CF38,CE38,CD38,CB38,CA38,BZ38,BY38,BX38,BW38,BV38,BT38,BR38,BQ38,BP38,BO38,BM38,BK38,BJ38,BI38,BG38,BD38,BB38,BA38,AY38,AV38,AU38,AT38,AS38,AR38,AQ38,AP38,AO38,AN38,AM38,AL38,AK38,AG38,AF38,AE38,AD38,AC38,AB38,AA38,Z38,Y38,X38,W38,V38,U38,T38,S38,P38,O38,M38,Table7[[#This Row],[Acyl_amino_acids]],E38,F38,G38,)</f>
        <v>0</v>
      </c>
    </row>
    <row r="39" spans="1:106" x14ac:dyDescent="0.25">
      <c r="A39" s="9" t="s">
        <v>128</v>
      </c>
      <c r="B39" s="1" t="s">
        <v>435</v>
      </c>
      <c r="C39" s="1" t="s">
        <v>265</v>
      </c>
      <c r="D39" s="1" t="s">
        <v>192</v>
      </c>
      <c r="E39" s="1" t="s">
        <v>192</v>
      </c>
      <c r="F39" s="1" t="s">
        <v>192</v>
      </c>
      <c r="G39" s="1" t="s">
        <v>192</v>
      </c>
      <c r="H39" s="1">
        <v>3</v>
      </c>
      <c r="I39" s="1" t="s">
        <v>192</v>
      </c>
      <c r="J39" s="1">
        <v>1</v>
      </c>
      <c r="K39" s="1" t="s">
        <v>192</v>
      </c>
      <c r="L39" s="1">
        <v>2</v>
      </c>
      <c r="M39" s="1" t="s">
        <v>192</v>
      </c>
      <c r="N39" s="1" t="s">
        <v>192</v>
      </c>
      <c r="O39" s="1" t="s">
        <v>192</v>
      </c>
      <c r="P39" s="1" t="s">
        <v>192</v>
      </c>
      <c r="Q39" s="1" t="s">
        <v>192</v>
      </c>
      <c r="R39" s="1" t="s">
        <v>192</v>
      </c>
      <c r="S39" s="1" t="s">
        <v>192</v>
      </c>
      <c r="T39" s="1" t="s">
        <v>192</v>
      </c>
      <c r="U39" s="1" t="s">
        <v>192</v>
      </c>
      <c r="V39" s="3" t="s">
        <v>192</v>
      </c>
      <c r="W39" s="3" t="s">
        <v>192</v>
      </c>
      <c r="X39" s="3" t="s">
        <v>192</v>
      </c>
      <c r="Y39" s="1" t="s">
        <v>192</v>
      </c>
      <c r="Z39" s="1" t="s">
        <v>192</v>
      </c>
      <c r="AA39" s="1" t="s">
        <v>192</v>
      </c>
      <c r="AB39" s="1" t="s">
        <v>192</v>
      </c>
      <c r="AC39" s="1" t="s">
        <v>192</v>
      </c>
      <c r="AD39" s="1" t="s">
        <v>192</v>
      </c>
      <c r="AE39" s="3" t="s">
        <v>192</v>
      </c>
      <c r="AF39" s="3" t="s">
        <v>192</v>
      </c>
      <c r="AG39" s="3" t="s">
        <v>192</v>
      </c>
      <c r="AH39" s="1" t="s">
        <v>192</v>
      </c>
      <c r="AI39" s="1" t="s">
        <v>192</v>
      </c>
      <c r="AJ39" s="1" t="s">
        <v>192</v>
      </c>
      <c r="AK39" s="1" t="s">
        <v>192</v>
      </c>
      <c r="AL39" s="1" t="s">
        <v>192</v>
      </c>
      <c r="AM39" s="1" t="s">
        <v>192</v>
      </c>
      <c r="AN39" s="1" t="s">
        <v>192</v>
      </c>
      <c r="AO39" s="3" t="s">
        <v>192</v>
      </c>
      <c r="AP39" s="3" t="s">
        <v>192</v>
      </c>
      <c r="AQ39" s="1" t="s">
        <v>192</v>
      </c>
      <c r="AR39" s="3" t="s">
        <v>192</v>
      </c>
      <c r="AS39" s="3" t="s">
        <v>192</v>
      </c>
      <c r="AT39" s="3" t="s">
        <v>192</v>
      </c>
      <c r="AU39" s="3" t="s">
        <v>192</v>
      </c>
      <c r="AV39" s="3" t="s">
        <v>192</v>
      </c>
      <c r="AW39" s="1" t="s">
        <v>192</v>
      </c>
      <c r="AX39" s="1" t="s">
        <v>192</v>
      </c>
      <c r="AY39" s="1" t="s">
        <v>192</v>
      </c>
      <c r="AZ39" s="1">
        <v>1</v>
      </c>
      <c r="BA39" s="1" t="s">
        <v>192</v>
      </c>
      <c r="BB39" s="1">
        <v>1</v>
      </c>
      <c r="BC39" s="1" t="s">
        <v>192</v>
      </c>
      <c r="BD39" s="1" t="s">
        <v>192</v>
      </c>
      <c r="BE39" s="1" t="s">
        <v>192</v>
      </c>
      <c r="BF39" s="1">
        <v>1</v>
      </c>
      <c r="BG39" s="1" t="s">
        <v>192</v>
      </c>
      <c r="BH39" s="1">
        <v>1</v>
      </c>
      <c r="BI39" s="1" t="s">
        <v>192</v>
      </c>
      <c r="BJ39" s="1" t="s">
        <v>192</v>
      </c>
      <c r="BK39" s="1" t="s">
        <v>192</v>
      </c>
      <c r="BL39" s="1" t="s">
        <v>192</v>
      </c>
      <c r="BM39" s="1" t="s">
        <v>192</v>
      </c>
      <c r="BN39" s="1" t="s">
        <v>192</v>
      </c>
      <c r="BO39" s="1" t="s">
        <v>192</v>
      </c>
      <c r="BP39" s="1" t="s">
        <v>192</v>
      </c>
      <c r="BQ39" s="1" t="s">
        <v>192</v>
      </c>
      <c r="BR39" s="1" t="s">
        <v>192</v>
      </c>
      <c r="BS39" s="1" t="s">
        <v>192</v>
      </c>
      <c r="BT39" s="1" t="s">
        <v>192</v>
      </c>
      <c r="BU39" s="1" t="s">
        <v>192</v>
      </c>
      <c r="BV39" s="1" t="s">
        <v>192</v>
      </c>
      <c r="BW39" s="1" t="s">
        <v>192</v>
      </c>
      <c r="BX39" s="1" t="s">
        <v>192</v>
      </c>
      <c r="BY39" s="1" t="s">
        <v>192</v>
      </c>
      <c r="BZ39" s="1" t="s">
        <v>192</v>
      </c>
      <c r="CA39" s="1" t="s">
        <v>192</v>
      </c>
      <c r="CB39" s="1" t="s">
        <v>192</v>
      </c>
      <c r="CC39" s="1" t="s">
        <v>192</v>
      </c>
      <c r="CD39" s="1" t="s">
        <v>192</v>
      </c>
      <c r="CE39" s="1" t="s">
        <v>192</v>
      </c>
      <c r="CF39" s="1" t="s">
        <v>192</v>
      </c>
      <c r="CG39" s="3">
        <v>3</v>
      </c>
      <c r="CH39" s="3" t="s">
        <v>192</v>
      </c>
      <c r="CI39" s="3" t="s">
        <v>192</v>
      </c>
      <c r="CJ39" s="3" t="s">
        <v>192</v>
      </c>
      <c r="CK39" s="3" t="s">
        <v>192</v>
      </c>
      <c r="CL39" s="3" t="s">
        <v>192</v>
      </c>
      <c r="CM39" s="3" t="s">
        <v>192</v>
      </c>
      <c r="CN39" s="3" t="s">
        <v>192</v>
      </c>
      <c r="CO39" s="3" t="s">
        <v>192</v>
      </c>
      <c r="CP39" s="3" t="s">
        <v>192</v>
      </c>
      <c r="CQ39" s="3" t="s">
        <v>192</v>
      </c>
      <c r="CR39" s="3" t="s">
        <v>192</v>
      </c>
      <c r="CS39" s="3" t="s">
        <v>192</v>
      </c>
      <c r="CT39" s="1">
        <f>SUM(Table7[[#This Row],[Acyl_amino_acids]:[T3PKS]])</f>
        <v>13</v>
      </c>
      <c r="CU39" s="3" t="s">
        <v>192</v>
      </c>
      <c r="CW39" s="1" t="str">
        <f>Table7[[#This Row],[NRPS]]</f>
        <v>-</v>
      </c>
      <c r="CX39" s="1">
        <f>SUM(CP39,CR39,CS39,Table7[[#This Row],[T1PKS, T3PKS]])</f>
        <v>0</v>
      </c>
      <c r="CY39" s="1">
        <f t="shared" si="0"/>
        <v>0</v>
      </c>
      <c r="CZ39" s="1">
        <f>Table7[[#This Row],[Terpene]]</f>
        <v>3</v>
      </c>
      <c r="DA39" s="1">
        <f>SUM(Table7[[#This Row],[Thiopeptide]],BH39,BF39,BE39,BC39,AZ39,AX39,AW39,AJ39,AH39,N39,L39,J39,H39,I39,K39,R39,Q39,Table7[[#This Row],[Cyanobactin, LAP]])</f>
        <v>9</v>
      </c>
      <c r="DB39" s="1">
        <f>SUM(CO39,CN39,CL39,CK39,CJ39,CI39,CH39,CF39,CE39,CD39,CB39,CA39,BZ39,BY39,BX39,BW39,BV39,BT39,BR39,BQ39,BP39,BO39,BM39,BK39,BJ39,BI39,BG39,BD39,BB39,BA39,AY39,AV39,AU39,AT39,AS39,AR39,AQ39,AP39,AO39,AN39,AM39,AL39,AK39,AG39,AF39,AE39,AD39,AC39,AB39,AA39,Z39,Y39,X39,W39,V39,U39,T39,S39,P39,O39,M39,Table7[[#This Row],[Acyl_amino_acids]],E39,F39,G39,)</f>
        <v>1</v>
      </c>
    </row>
    <row r="40" spans="1:106" x14ac:dyDescent="0.25">
      <c r="A40" s="9" t="s">
        <v>647</v>
      </c>
      <c r="B40" s="1" t="s">
        <v>435</v>
      </c>
      <c r="C40" s="1" t="s">
        <v>269</v>
      </c>
      <c r="D40" s="3" t="s">
        <v>192</v>
      </c>
      <c r="E40" s="3" t="s">
        <v>192</v>
      </c>
      <c r="F40" s="3" t="s">
        <v>192</v>
      </c>
      <c r="G40" s="3" t="s">
        <v>192</v>
      </c>
      <c r="H40" s="3">
        <v>1</v>
      </c>
      <c r="I40" s="3" t="s">
        <v>192</v>
      </c>
      <c r="J40" s="3" t="s">
        <v>192</v>
      </c>
      <c r="K40" s="3" t="s">
        <v>192</v>
      </c>
      <c r="L40" s="3">
        <v>1</v>
      </c>
      <c r="M40" s="3" t="s">
        <v>192</v>
      </c>
      <c r="N40" s="3" t="s">
        <v>192</v>
      </c>
      <c r="O40" s="3" t="s">
        <v>192</v>
      </c>
      <c r="P40" s="3" t="s">
        <v>192</v>
      </c>
      <c r="Q40" s="3" t="s">
        <v>192</v>
      </c>
      <c r="R40" s="3" t="s">
        <v>192</v>
      </c>
      <c r="S40" s="3" t="s">
        <v>192</v>
      </c>
      <c r="T40" s="3" t="s">
        <v>192</v>
      </c>
      <c r="U40" s="3" t="s">
        <v>192</v>
      </c>
      <c r="V40" s="3" t="s">
        <v>192</v>
      </c>
      <c r="W40" s="3" t="s">
        <v>192</v>
      </c>
      <c r="X40" s="3" t="s">
        <v>192</v>
      </c>
      <c r="Y40" s="3" t="s">
        <v>192</v>
      </c>
      <c r="Z40" s="3" t="s">
        <v>192</v>
      </c>
      <c r="AA40" s="3" t="s">
        <v>192</v>
      </c>
      <c r="AB40" s="3" t="s">
        <v>192</v>
      </c>
      <c r="AC40" s="3" t="s">
        <v>192</v>
      </c>
      <c r="AD40" s="3" t="s">
        <v>192</v>
      </c>
      <c r="AE40" s="3" t="s">
        <v>192</v>
      </c>
      <c r="AF40" s="3" t="s">
        <v>192</v>
      </c>
      <c r="AG40" s="3" t="s">
        <v>192</v>
      </c>
      <c r="AH40" s="3" t="s">
        <v>192</v>
      </c>
      <c r="AI40" s="3">
        <v>1</v>
      </c>
      <c r="AJ40" s="3" t="s">
        <v>192</v>
      </c>
      <c r="AK40" s="3" t="s">
        <v>192</v>
      </c>
      <c r="AL40" s="3" t="s">
        <v>192</v>
      </c>
      <c r="AM40" s="3" t="s">
        <v>192</v>
      </c>
      <c r="AN40" s="3" t="s">
        <v>192</v>
      </c>
      <c r="AO40" s="3" t="s">
        <v>192</v>
      </c>
      <c r="AP40" s="3" t="s">
        <v>192</v>
      </c>
      <c r="AQ40" s="3">
        <v>2</v>
      </c>
      <c r="AR40" s="3" t="s">
        <v>192</v>
      </c>
      <c r="AS40" s="3" t="s">
        <v>192</v>
      </c>
      <c r="AT40" s="3">
        <v>1</v>
      </c>
      <c r="AU40" s="3" t="s">
        <v>192</v>
      </c>
      <c r="AV40" s="3" t="s">
        <v>192</v>
      </c>
      <c r="AW40" s="3">
        <v>1</v>
      </c>
      <c r="AX40" s="3" t="s">
        <v>192</v>
      </c>
      <c r="AY40" s="3" t="s">
        <v>192</v>
      </c>
      <c r="AZ40" s="3" t="s">
        <v>192</v>
      </c>
      <c r="BA40" s="3" t="s">
        <v>192</v>
      </c>
      <c r="BB40" s="3" t="s">
        <v>192</v>
      </c>
      <c r="BC40" s="3" t="s">
        <v>192</v>
      </c>
      <c r="BD40" s="3" t="s">
        <v>192</v>
      </c>
      <c r="BE40" s="3" t="s">
        <v>192</v>
      </c>
      <c r="BF40" s="3" t="s">
        <v>192</v>
      </c>
      <c r="BG40" s="3" t="s">
        <v>192</v>
      </c>
      <c r="BH40" s="3">
        <v>1</v>
      </c>
      <c r="BI40" s="3" t="s">
        <v>192</v>
      </c>
      <c r="BJ40" s="3" t="s">
        <v>192</v>
      </c>
      <c r="BK40" s="3" t="s">
        <v>192</v>
      </c>
      <c r="BL40" s="3">
        <v>6</v>
      </c>
      <c r="BM40" s="3" t="s">
        <v>192</v>
      </c>
      <c r="BN40" s="3" t="s">
        <v>192</v>
      </c>
      <c r="BO40" s="3" t="s">
        <v>192</v>
      </c>
      <c r="BP40" s="3" t="s">
        <v>192</v>
      </c>
      <c r="BQ40" s="3" t="s">
        <v>192</v>
      </c>
      <c r="BR40" s="3" t="s">
        <v>192</v>
      </c>
      <c r="BS40" s="3" t="s">
        <v>192</v>
      </c>
      <c r="BT40" s="3" t="s">
        <v>192</v>
      </c>
      <c r="BU40" s="3" t="s">
        <v>192</v>
      </c>
      <c r="BV40" s="3" t="s">
        <v>192</v>
      </c>
      <c r="BW40" s="3" t="s">
        <v>192</v>
      </c>
      <c r="BX40" s="3" t="s">
        <v>192</v>
      </c>
      <c r="BY40" s="3">
        <v>1</v>
      </c>
      <c r="BZ40" s="3" t="s">
        <v>192</v>
      </c>
      <c r="CA40" s="3" t="s">
        <v>192</v>
      </c>
      <c r="CB40" s="3" t="s">
        <v>192</v>
      </c>
      <c r="CC40" s="3" t="s">
        <v>192</v>
      </c>
      <c r="CD40" s="3" t="s">
        <v>192</v>
      </c>
      <c r="CE40" s="3" t="s">
        <v>192</v>
      </c>
      <c r="CF40" s="3" t="s">
        <v>192</v>
      </c>
      <c r="CG40" s="3">
        <v>3</v>
      </c>
      <c r="CH40" s="3" t="s">
        <v>192</v>
      </c>
      <c r="CI40" s="3" t="s">
        <v>192</v>
      </c>
      <c r="CJ40" s="3" t="s">
        <v>192</v>
      </c>
      <c r="CK40" s="3" t="s">
        <v>192</v>
      </c>
      <c r="CL40" s="3" t="s">
        <v>192</v>
      </c>
      <c r="CM40" s="3" t="s">
        <v>192</v>
      </c>
      <c r="CN40" s="3" t="s">
        <v>192</v>
      </c>
      <c r="CO40" s="3" t="s">
        <v>192</v>
      </c>
      <c r="CP40" s="3" t="s">
        <v>192</v>
      </c>
      <c r="CQ40" s="3">
        <v>1</v>
      </c>
      <c r="CR40" s="3" t="s">
        <v>192</v>
      </c>
      <c r="CS40" s="3" t="s">
        <v>192</v>
      </c>
      <c r="CT40" s="1">
        <f>SUM(Table7[[#This Row],[Acyl_amino_acids]:[T3PKS]])</f>
        <v>19</v>
      </c>
      <c r="CU40" s="3" t="s">
        <v>560</v>
      </c>
      <c r="CW40" s="1">
        <f>Table7[[#This Row],[NRPS]]</f>
        <v>6</v>
      </c>
      <c r="CX40" s="1">
        <f>SUM(CP40,CR40,CS40,Table7[[#This Row],[T1PKS, T3PKS]])</f>
        <v>1</v>
      </c>
      <c r="CY40" s="1">
        <f t="shared" si="0"/>
        <v>0</v>
      </c>
      <c r="CZ40" s="1">
        <f>Table7[[#This Row],[Terpene]]</f>
        <v>3</v>
      </c>
      <c r="DA40" s="1">
        <f>SUM(Table7[[#This Row],[Thiopeptide]],BH40,BF40,BE40,BC40,AZ40,AX40,AW40,AJ40,AH40,N40,L40,J40,H40,I40,K40,R40,Q40,Table7[[#This Row],[Cyanobactin, LAP]])</f>
        <v>5</v>
      </c>
      <c r="DB40" s="1">
        <f>SUM(CO40,CN40,CL40,CK40,CJ40,CI40,CH40,CF40,CE40,CD40,CB40,CA40,BZ40,BY40,BX40,BW40,BV40,BT40,BR40,BQ40,BP40,BO40,BM40,BK40,BJ40,BI40,BG40,BD40,BB40,BA40,AY40,AV40,AU40,AT40,AS40,AR40,AQ40,AP40,AO40,AN40,AM40,AL40,AK40,AG40,AF40,AE40,AD40,AC40,AB40,AA40,Z40,Y40,X40,W40,V40,U40,T40,S40,P40,O40,M40,Table7[[#This Row],[Acyl_amino_acids]],E40,F40,G40,)</f>
        <v>4</v>
      </c>
    </row>
    <row r="41" spans="1:106" x14ac:dyDescent="0.25">
      <c r="A41" s="9" t="s">
        <v>635</v>
      </c>
      <c r="B41" s="1" t="s">
        <v>435</v>
      </c>
      <c r="C41" s="1" t="s">
        <v>270</v>
      </c>
      <c r="D41" s="1" t="s">
        <v>192</v>
      </c>
      <c r="E41" s="1" t="s">
        <v>192</v>
      </c>
      <c r="F41" s="3" t="s">
        <v>192</v>
      </c>
      <c r="G41" s="3" t="s">
        <v>192</v>
      </c>
      <c r="H41" s="3" t="s">
        <v>192</v>
      </c>
      <c r="I41" s="3" t="s">
        <v>192</v>
      </c>
      <c r="J41" s="3" t="s">
        <v>192</v>
      </c>
      <c r="K41" s="3" t="s">
        <v>192</v>
      </c>
      <c r="L41" s="3" t="s">
        <v>192</v>
      </c>
      <c r="M41" s="3" t="s">
        <v>192</v>
      </c>
      <c r="N41" s="3" t="s">
        <v>192</v>
      </c>
      <c r="O41" s="3" t="s">
        <v>192</v>
      </c>
      <c r="P41" s="3" t="s">
        <v>192</v>
      </c>
      <c r="Q41" s="3" t="s">
        <v>192</v>
      </c>
      <c r="R41" s="3" t="s">
        <v>192</v>
      </c>
      <c r="S41" s="3" t="s">
        <v>192</v>
      </c>
      <c r="T41" s="3" t="s">
        <v>192</v>
      </c>
      <c r="U41" s="3" t="s">
        <v>192</v>
      </c>
      <c r="V41" s="3" t="s">
        <v>192</v>
      </c>
      <c r="W41" s="3" t="s">
        <v>192</v>
      </c>
      <c r="X41" s="3" t="s">
        <v>192</v>
      </c>
      <c r="Y41" s="3" t="s">
        <v>192</v>
      </c>
      <c r="Z41" s="3" t="s">
        <v>192</v>
      </c>
      <c r="AA41" s="3" t="s">
        <v>192</v>
      </c>
      <c r="AB41" s="3">
        <v>1</v>
      </c>
      <c r="AC41" s="3" t="s">
        <v>192</v>
      </c>
      <c r="AD41" s="3" t="s">
        <v>192</v>
      </c>
      <c r="AE41" s="3" t="s">
        <v>192</v>
      </c>
      <c r="AF41" s="3" t="s">
        <v>192</v>
      </c>
      <c r="AG41" s="3" t="s">
        <v>192</v>
      </c>
      <c r="AH41" s="3">
        <v>1</v>
      </c>
      <c r="AI41" s="3" t="s">
        <v>192</v>
      </c>
      <c r="AJ41" s="3" t="s">
        <v>192</v>
      </c>
      <c r="AK41" s="3" t="s">
        <v>192</v>
      </c>
      <c r="AL41" s="3" t="s">
        <v>192</v>
      </c>
      <c r="AM41" s="3" t="s">
        <v>192</v>
      </c>
      <c r="AN41" s="3" t="s">
        <v>192</v>
      </c>
      <c r="AO41" s="3" t="s">
        <v>192</v>
      </c>
      <c r="AP41" s="3" t="s">
        <v>192</v>
      </c>
      <c r="AQ41" s="3">
        <v>2</v>
      </c>
      <c r="AR41" s="3" t="s">
        <v>192</v>
      </c>
      <c r="AS41" s="3" t="s">
        <v>192</v>
      </c>
      <c r="AT41" s="3" t="s">
        <v>192</v>
      </c>
      <c r="AU41" s="3" t="s">
        <v>192</v>
      </c>
      <c r="AV41" s="3" t="s">
        <v>192</v>
      </c>
      <c r="AW41" s="3" t="s">
        <v>192</v>
      </c>
      <c r="AX41" s="3">
        <v>1</v>
      </c>
      <c r="AY41" s="3" t="s">
        <v>192</v>
      </c>
      <c r="AZ41" s="3">
        <v>2</v>
      </c>
      <c r="BA41" s="3" t="s">
        <v>192</v>
      </c>
      <c r="BB41" s="3" t="s">
        <v>192</v>
      </c>
      <c r="BC41" s="3" t="s">
        <v>192</v>
      </c>
      <c r="BD41" s="3" t="s">
        <v>192</v>
      </c>
      <c r="BE41" s="3" t="s">
        <v>192</v>
      </c>
      <c r="BF41" s="3" t="s">
        <v>192</v>
      </c>
      <c r="BG41" s="3" t="s">
        <v>192</v>
      </c>
      <c r="BH41" s="3" t="s">
        <v>192</v>
      </c>
      <c r="BI41" s="3" t="s">
        <v>192</v>
      </c>
      <c r="BJ41" s="3" t="s">
        <v>192</v>
      </c>
      <c r="BK41" s="3" t="s">
        <v>192</v>
      </c>
      <c r="BL41" s="3">
        <v>6</v>
      </c>
      <c r="BM41" s="3" t="s">
        <v>192</v>
      </c>
      <c r="BN41" s="3" t="s">
        <v>192</v>
      </c>
      <c r="BO41" s="3" t="s">
        <v>192</v>
      </c>
      <c r="BP41" s="3" t="s">
        <v>192</v>
      </c>
      <c r="BQ41" s="3" t="s">
        <v>192</v>
      </c>
      <c r="BR41" s="3" t="s">
        <v>192</v>
      </c>
      <c r="BS41" s="3">
        <v>2</v>
      </c>
      <c r="BT41" s="3">
        <v>1</v>
      </c>
      <c r="BU41" s="3" t="s">
        <v>192</v>
      </c>
      <c r="BV41" s="3" t="s">
        <v>192</v>
      </c>
      <c r="BW41" s="3" t="s">
        <v>192</v>
      </c>
      <c r="BX41" s="3" t="s">
        <v>192</v>
      </c>
      <c r="BY41" s="3" t="s">
        <v>192</v>
      </c>
      <c r="BZ41" s="3" t="s">
        <v>192</v>
      </c>
      <c r="CA41" s="3" t="s">
        <v>192</v>
      </c>
      <c r="CB41" s="3" t="s">
        <v>192</v>
      </c>
      <c r="CC41" s="3">
        <v>1</v>
      </c>
      <c r="CD41" s="3" t="s">
        <v>192</v>
      </c>
      <c r="CE41" s="3" t="s">
        <v>192</v>
      </c>
      <c r="CF41" s="3" t="s">
        <v>192</v>
      </c>
      <c r="CG41" s="3">
        <v>5</v>
      </c>
      <c r="CH41" s="3" t="s">
        <v>192</v>
      </c>
      <c r="CI41" s="3" t="s">
        <v>192</v>
      </c>
      <c r="CJ41" s="3" t="s">
        <v>192</v>
      </c>
      <c r="CK41" s="3" t="s">
        <v>192</v>
      </c>
      <c r="CL41" s="3" t="s">
        <v>192</v>
      </c>
      <c r="CM41" s="3" t="s">
        <v>192</v>
      </c>
      <c r="CN41" s="3" t="s">
        <v>192</v>
      </c>
      <c r="CO41" s="3" t="s">
        <v>192</v>
      </c>
      <c r="CP41" s="3">
        <v>1</v>
      </c>
      <c r="CQ41" s="3" t="s">
        <v>192</v>
      </c>
      <c r="CR41" s="3" t="s">
        <v>192</v>
      </c>
      <c r="CS41" s="3" t="s">
        <v>192</v>
      </c>
      <c r="CT41" s="1">
        <f>SUM(Table7[[#This Row],[Acyl_amino_acids]:[T3PKS]])</f>
        <v>23</v>
      </c>
      <c r="CU41" s="2" t="s">
        <v>570</v>
      </c>
      <c r="CW41" s="1">
        <f>Table7[[#This Row],[NRPS]]</f>
        <v>6</v>
      </c>
      <c r="CX41" s="1">
        <f>SUM(CP41,CR41,CS41,Table7[[#This Row],[T1PKS, T3PKS]])</f>
        <v>1</v>
      </c>
      <c r="CY41" s="1">
        <f t="shared" si="0"/>
        <v>2</v>
      </c>
      <c r="CZ41" s="1">
        <f>Table7[[#This Row],[Terpene]]</f>
        <v>5</v>
      </c>
      <c r="DA41" s="1">
        <f>SUM(Table7[[#This Row],[Thiopeptide]],BH41,BF41,BE41,BC41,AZ41,AX41,AW41,AJ41,AH41,N41,L41,J41,H41,I41,K41,R41,Q41,Table7[[#This Row],[Cyanobactin, LAP]])</f>
        <v>4</v>
      </c>
      <c r="DB41" s="1">
        <f>SUM(1,CO41,CN41,CL41,CK41,CJ41,CI41,CH41,CF41,CE41,CD41,CB41,CA41,BZ41,BY41,BX41,BW41,BV41,BT41,BR41,BQ41,BP41,BO41,BM41,BK41,BJ41,BI41,BG41,BD41,BB41,BA41,AY41,AV41,AU41,AT41,AS41,AR41,AQ41,AP41,AO41,AN41,AM41,AL41,AK41,AG41,AF41,AE41,AD41,AC41,AB41,AA41,Z41,Y41,X41,W41,V41,U41,T41,S41,P41,O41,M41,Table7[[#This Row],[Acyl_amino_acids]],E41,F41,G41,)</f>
        <v>5</v>
      </c>
    </row>
    <row r="42" spans="1:106" x14ac:dyDescent="0.25">
      <c r="A42" s="9" t="s">
        <v>723</v>
      </c>
      <c r="B42" s="1" t="s">
        <v>435</v>
      </c>
      <c r="C42" s="1" t="s">
        <v>271</v>
      </c>
      <c r="D42" s="1" t="s">
        <v>192</v>
      </c>
      <c r="E42" s="3" t="s">
        <v>192</v>
      </c>
      <c r="F42" s="3" t="s">
        <v>192</v>
      </c>
      <c r="G42" s="3" t="s">
        <v>192</v>
      </c>
      <c r="H42" s="3" t="s">
        <v>192</v>
      </c>
      <c r="I42" s="3" t="s">
        <v>192</v>
      </c>
      <c r="J42" s="3" t="s">
        <v>192</v>
      </c>
      <c r="K42" s="3" t="s">
        <v>192</v>
      </c>
      <c r="L42" s="3" t="s">
        <v>192</v>
      </c>
      <c r="M42" s="3" t="s">
        <v>192</v>
      </c>
      <c r="N42" s="3" t="s">
        <v>192</v>
      </c>
      <c r="O42" s="3" t="s">
        <v>192</v>
      </c>
      <c r="P42" s="3" t="s">
        <v>192</v>
      </c>
      <c r="Q42" s="3" t="s">
        <v>192</v>
      </c>
      <c r="R42" s="3" t="s">
        <v>192</v>
      </c>
      <c r="S42" s="3" t="s">
        <v>192</v>
      </c>
      <c r="T42" s="3" t="s">
        <v>192</v>
      </c>
      <c r="U42" s="3" t="s">
        <v>192</v>
      </c>
      <c r="V42" s="3" t="s">
        <v>192</v>
      </c>
      <c r="W42" s="3" t="s">
        <v>192</v>
      </c>
      <c r="X42" s="3" t="s">
        <v>192</v>
      </c>
      <c r="Y42" s="3" t="s">
        <v>192</v>
      </c>
      <c r="Z42" s="3" t="s">
        <v>192</v>
      </c>
      <c r="AA42" s="3" t="s">
        <v>192</v>
      </c>
      <c r="AB42" s="3" t="s">
        <v>192</v>
      </c>
      <c r="AC42" s="3" t="s">
        <v>192</v>
      </c>
      <c r="AD42" s="3" t="s">
        <v>192</v>
      </c>
      <c r="AE42" s="3" t="s">
        <v>192</v>
      </c>
      <c r="AF42" s="3" t="s">
        <v>192</v>
      </c>
      <c r="AG42" s="3" t="s">
        <v>192</v>
      </c>
      <c r="AH42" s="3" t="s">
        <v>192</v>
      </c>
      <c r="AI42" s="3" t="s">
        <v>192</v>
      </c>
      <c r="AJ42" s="3" t="s">
        <v>192</v>
      </c>
      <c r="AK42" s="3" t="s">
        <v>192</v>
      </c>
      <c r="AL42" s="3" t="s">
        <v>192</v>
      </c>
      <c r="AM42" s="3" t="s">
        <v>192</v>
      </c>
      <c r="AN42" s="3" t="s">
        <v>192</v>
      </c>
      <c r="AO42" s="3" t="s">
        <v>192</v>
      </c>
      <c r="AP42" s="3" t="s">
        <v>192</v>
      </c>
      <c r="AQ42" s="3" t="s">
        <v>192</v>
      </c>
      <c r="AR42" s="3" t="s">
        <v>192</v>
      </c>
      <c r="AS42" s="3" t="s">
        <v>192</v>
      </c>
      <c r="AT42" s="3" t="s">
        <v>192</v>
      </c>
      <c r="AU42" s="3" t="s">
        <v>192</v>
      </c>
      <c r="AV42" s="3" t="s">
        <v>192</v>
      </c>
      <c r="AW42" s="3" t="s">
        <v>192</v>
      </c>
      <c r="AX42" s="3" t="s">
        <v>192</v>
      </c>
      <c r="AY42" s="3" t="s">
        <v>192</v>
      </c>
      <c r="AZ42" s="3" t="s">
        <v>192</v>
      </c>
      <c r="BA42" s="3" t="s">
        <v>192</v>
      </c>
      <c r="BB42" s="3" t="s">
        <v>192</v>
      </c>
      <c r="BC42" s="3" t="s">
        <v>192</v>
      </c>
      <c r="BD42" s="3" t="s">
        <v>192</v>
      </c>
      <c r="BE42" s="3" t="s">
        <v>192</v>
      </c>
      <c r="BF42" s="3" t="s">
        <v>192</v>
      </c>
      <c r="BG42" s="3" t="s">
        <v>192</v>
      </c>
      <c r="BH42" s="3" t="s">
        <v>192</v>
      </c>
      <c r="BI42" s="3" t="s">
        <v>192</v>
      </c>
      <c r="BJ42" s="3" t="s">
        <v>192</v>
      </c>
      <c r="BK42" s="3" t="s">
        <v>192</v>
      </c>
      <c r="BL42" s="3">
        <v>1</v>
      </c>
      <c r="BM42" s="3" t="s">
        <v>192</v>
      </c>
      <c r="BN42" s="3" t="s">
        <v>192</v>
      </c>
      <c r="BO42" s="3" t="s">
        <v>192</v>
      </c>
      <c r="BP42" s="3" t="s">
        <v>192</v>
      </c>
      <c r="BQ42" s="3" t="s">
        <v>192</v>
      </c>
      <c r="BR42" s="3" t="s">
        <v>192</v>
      </c>
      <c r="BS42" s="3" t="s">
        <v>192</v>
      </c>
      <c r="BT42" s="3" t="s">
        <v>192</v>
      </c>
      <c r="BU42" s="3" t="s">
        <v>192</v>
      </c>
      <c r="BV42" s="3" t="s">
        <v>192</v>
      </c>
      <c r="BW42" s="3" t="s">
        <v>192</v>
      </c>
      <c r="BX42" s="3" t="s">
        <v>192</v>
      </c>
      <c r="BY42" s="3" t="s">
        <v>192</v>
      </c>
      <c r="BZ42" s="3" t="s">
        <v>192</v>
      </c>
      <c r="CA42" s="3" t="s">
        <v>192</v>
      </c>
      <c r="CB42" s="3" t="s">
        <v>192</v>
      </c>
      <c r="CC42" s="3" t="s">
        <v>192</v>
      </c>
      <c r="CD42" s="3" t="s">
        <v>192</v>
      </c>
      <c r="CE42" s="3" t="s">
        <v>192</v>
      </c>
      <c r="CF42" s="3" t="s">
        <v>192</v>
      </c>
      <c r="CG42" s="3">
        <v>1</v>
      </c>
      <c r="CH42" s="3" t="s">
        <v>192</v>
      </c>
      <c r="CI42" s="3" t="s">
        <v>192</v>
      </c>
      <c r="CJ42" s="3" t="s">
        <v>192</v>
      </c>
      <c r="CK42" s="3" t="s">
        <v>192</v>
      </c>
      <c r="CL42" s="3" t="s">
        <v>192</v>
      </c>
      <c r="CM42" s="3" t="s">
        <v>192</v>
      </c>
      <c r="CN42" s="3" t="s">
        <v>192</v>
      </c>
      <c r="CO42" s="3" t="s">
        <v>192</v>
      </c>
      <c r="CP42" s="3" t="s">
        <v>192</v>
      </c>
      <c r="CQ42" s="3" t="s">
        <v>192</v>
      </c>
      <c r="CR42" s="3" t="s">
        <v>192</v>
      </c>
      <c r="CS42" s="3" t="s">
        <v>192</v>
      </c>
      <c r="CT42" s="1">
        <f>SUM(Table7[[#This Row],[Acyl_amino_acids]:[T3PKS]])</f>
        <v>2</v>
      </c>
      <c r="CU42" s="3" t="s">
        <v>192</v>
      </c>
      <c r="CW42" s="1">
        <f>Table7[[#This Row],[NRPS]]</f>
        <v>1</v>
      </c>
      <c r="CX42" s="1">
        <f>SUM(CP42,CR42,CS42,Table7[[#This Row],[T1PKS, T3PKS]])</f>
        <v>0</v>
      </c>
      <c r="CY42" s="1">
        <f t="shared" si="0"/>
        <v>0</v>
      </c>
      <c r="CZ42" s="1">
        <f>Table7[[#This Row],[Terpene]]</f>
        <v>1</v>
      </c>
      <c r="DA42" s="1">
        <f>SUM(Table7[[#This Row],[Thiopeptide]],BH42,BF42,BE42,BC42,AZ42,AX42,AW42,AJ42,AH42,N42,L42,J42,H42,I42,K42,R42,Q42,Table7[[#This Row],[Cyanobactin, LAP]])</f>
        <v>0</v>
      </c>
      <c r="DB42" s="1">
        <f>SUM(CO42,CN42,CL42,CK42,CJ42,CI42,CH42,CF42,CE42,CD42,CB42,CA42,BZ42,BY42,BX42,BW42,BV42,BT42,BR42,BQ42,BP42,BO42,BM42,BK42,BJ42,BI42,BG42,BD42,BB42,BA42,AY42,AV42,AU42,AT42,AS42,AR42,AQ42,AP42,AO42,AN42,AM42,AL42,AK42,AG42,AF42,AE42,AD42,AC42,AB42,AA42,Z42,Y42,X42,W42,V42,U42,T42,S42,P42,O42,M42,Table7[[#This Row],[Acyl_amino_acids]],E42,F42,G42,)</f>
        <v>0</v>
      </c>
    </row>
    <row r="43" spans="1:106" x14ac:dyDescent="0.25">
      <c r="A43" s="9" t="s">
        <v>771</v>
      </c>
      <c r="B43" s="1" t="s">
        <v>435</v>
      </c>
      <c r="C43" s="1" t="s">
        <v>272</v>
      </c>
      <c r="D43" s="3" t="s">
        <v>192</v>
      </c>
      <c r="E43" s="3" t="s">
        <v>192</v>
      </c>
      <c r="F43" s="3" t="s">
        <v>192</v>
      </c>
      <c r="G43" s="3" t="s">
        <v>192</v>
      </c>
      <c r="H43" s="3" t="s">
        <v>192</v>
      </c>
      <c r="I43" s="3" t="s">
        <v>192</v>
      </c>
      <c r="J43" s="3" t="s">
        <v>192</v>
      </c>
      <c r="K43" s="3" t="s">
        <v>192</v>
      </c>
      <c r="L43" s="3" t="s">
        <v>192</v>
      </c>
      <c r="M43" s="3" t="s">
        <v>192</v>
      </c>
      <c r="N43" s="3" t="s">
        <v>192</v>
      </c>
      <c r="O43" s="3" t="s">
        <v>192</v>
      </c>
      <c r="P43" s="3" t="s">
        <v>192</v>
      </c>
      <c r="Q43" s="3" t="s">
        <v>192</v>
      </c>
      <c r="R43" s="3" t="s">
        <v>192</v>
      </c>
      <c r="S43" s="3" t="s">
        <v>192</v>
      </c>
      <c r="T43" s="3" t="s">
        <v>192</v>
      </c>
      <c r="U43" s="3" t="s">
        <v>192</v>
      </c>
      <c r="V43" s="3" t="s">
        <v>192</v>
      </c>
      <c r="W43" s="3" t="s">
        <v>192</v>
      </c>
      <c r="X43" s="3" t="s">
        <v>192</v>
      </c>
      <c r="Y43" s="3" t="s">
        <v>192</v>
      </c>
      <c r="Z43" s="3">
        <v>1</v>
      </c>
      <c r="AA43" s="3" t="s">
        <v>192</v>
      </c>
      <c r="AB43" s="3" t="s">
        <v>192</v>
      </c>
      <c r="AC43" s="3" t="s">
        <v>192</v>
      </c>
      <c r="AD43" s="3" t="s">
        <v>192</v>
      </c>
      <c r="AE43" s="3" t="s">
        <v>192</v>
      </c>
      <c r="AF43" s="3" t="s">
        <v>192</v>
      </c>
      <c r="AG43" s="3" t="s">
        <v>192</v>
      </c>
      <c r="AH43" s="3">
        <v>1</v>
      </c>
      <c r="AI43" s="3" t="s">
        <v>192</v>
      </c>
      <c r="AJ43" s="3" t="s">
        <v>192</v>
      </c>
      <c r="AK43" s="3" t="s">
        <v>192</v>
      </c>
      <c r="AL43" s="3">
        <v>1</v>
      </c>
      <c r="AM43" s="3" t="s">
        <v>192</v>
      </c>
      <c r="AN43" s="3" t="s">
        <v>192</v>
      </c>
      <c r="AO43" s="3" t="s">
        <v>192</v>
      </c>
      <c r="AP43" s="3" t="s">
        <v>192</v>
      </c>
      <c r="AQ43" s="3" t="s">
        <v>192</v>
      </c>
      <c r="AR43" s="3" t="s">
        <v>192</v>
      </c>
      <c r="AS43" s="3" t="s">
        <v>192</v>
      </c>
      <c r="AT43" s="3" t="s">
        <v>192</v>
      </c>
      <c r="AU43" s="3" t="s">
        <v>192</v>
      </c>
      <c r="AV43" s="3" t="s">
        <v>192</v>
      </c>
      <c r="AW43" s="3" t="s">
        <v>192</v>
      </c>
      <c r="AX43" s="3" t="s">
        <v>192</v>
      </c>
      <c r="AY43" s="3" t="s">
        <v>192</v>
      </c>
      <c r="AZ43" s="3" t="s">
        <v>192</v>
      </c>
      <c r="BA43" s="3" t="s">
        <v>192</v>
      </c>
      <c r="BB43" s="3" t="s">
        <v>192</v>
      </c>
      <c r="BC43" s="3" t="s">
        <v>192</v>
      </c>
      <c r="BD43" s="3" t="s">
        <v>192</v>
      </c>
      <c r="BE43" s="3">
        <v>1</v>
      </c>
      <c r="BF43" s="3" t="s">
        <v>192</v>
      </c>
      <c r="BG43" s="3" t="s">
        <v>192</v>
      </c>
      <c r="BH43" s="3" t="s">
        <v>192</v>
      </c>
      <c r="BI43" s="3" t="s">
        <v>192</v>
      </c>
      <c r="BJ43" s="3" t="s">
        <v>192</v>
      </c>
      <c r="BK43" s="3" t="s">
        <v>192</v>
      </c>
      <c r="BL43" s="3">
        <v>1</v>
      </c>
      <c r="BM43" s="3" t="s">
        <v>192</v>
      </c>
      <c r="BN43" s="3" t="s">
        <v>192</v>
      </c>
      <c r="BO43" s="3" t="s">
        <v>192</v>
      </c>
      <c r="BP43" s="3" t="s">
        <v>192</v>
      </c>
      <c r="BQ43" s="3" t="s">
        <v>192</v>
      </c>
      <c r="BR43" s="3" t="s">
        <v>192</v>
      </c>
      <c r="BS43" s="3" t="s">
        <v>192</v>
      </c>
      <c r="BT43" s="3" t="s">
        <v>192</v>
      </c>
      <c r="BU43" s="3" t="s">
        <v>192</v>
      </c>
      <c r="BV43" s="3" t="s">
        <v>192</v>
      </c>
      <c r="BW43" s="3" t="s">
        <v>192</v>
      </c>
      <c r="BX43" s="3" t="s">
        <v>192</v>
      </c>
      <c r="BY43" s="3" t="s">
        <v>192</v>
      </c>
      <c r="BZ43" s="3" t="s">
        <v>192</v>
      </c>
      <c r="CA43" s="3" t="s">
        <v>192</v>
      </c>
      <c r="CB43" s="3" t="s">
        <v>192</v>
      </c>
      <c r="CC43" s="3" t="s">
        <v>192</v>
      </c>
      <c r="CD43" s="3" t="s">
        <v>192</v>
      </c>
      <c r="CE43" s="3" t="s">
        <v>192</v>
      </c>
      <c r="CF43" s="3" t="s">
        <v>192</v>
      </c>
      <c r="CG43" s="3">
        <v>3</v>
      </c>
      <c r="CH43" s="3" t="s">
        <v>192</v>
      </c>
      <c r="CI43" s="3" t="s">
        <v>192</v>
      </c>
      <c r="CJ43" s="3" t="s">
        <v>192</v>
      </c>
      <c r="CK43" s="3" t="s">
        <v>192</v>
      </c>
      <c r="CL43" s="3" t="s">
        <v>192</v>
      </c>
      <c r="CM43" s="3" t="s">
        <v>192</v>
      </c>
      <c r="CN43" s="3" t="s">
        <v>192</v>
      </c>
      <c r="CO43" s="3" t="s">
        <v>192</v>
      </c>
      <c r="CP43" s="3" t="s">
        <v>192</v>
      </c>
      <c r="CQ43" s="3" t="s">
        <v>192</v>
      </c>
      <c r="CR43" s="3" t="s">
        <v>192</v>
      </c>
      <c r="CS43" s="3" t="s">
        <v>192</v>
      </c>
      <c r="CT43" s="1">
        <f>SUM(Table7[[#This Row],[Acyl_amino_acids]:[T3PKS]])</f>
        <v>8</v>
      </c>
      <c r="CU43" s="3" t="s">
        <v>273</v>
      </c>
      <c r="CW43" s="1">
        <f>Table7[[#This Row],[NRPS]]</f>
        <v>1</v>
      </c>
      <c r="CX43" s="1">
        <f>SUM(CP43,CR43,CS43,Table7[[#This Row],[T1PKS, T3PKS]])</f>
        <v>0</v>
      </c>
      <c r="CY43" s="1">
        <f t="shared" si="0"/>
        <v>0</v>
      </c>
      <c r="CZ43" s="1">
        <f>Table7[[#This Row],[Terpene]]</f>
        <v>3</v>
      </c>
      <c r="DA43" s="1">
        <f>SUM(Table7[[#This Row],[Thiopeptide]],BH43,BF43,BE43,BC43,AZ43,AX43,AW43,AJ43,AH43,N43,L43,J43,H43,I43,K43,R43,Q43,Table7[[#This Row],[Cyanobactin, LAP]])</f>
        <v>2</v>
      </c>
      <c r="DB43" s="1">
        <f>SUM(CO43,CN43,CL43,CK43,CJ43,CI43,CH43,CF43,CE43,CD43,CB43,CA43,BZ43,BY43,BX43,BW43,BV43,BT43,BR43,BQ43,BP43,BO43,BM43,BK43,BJ43,BI43,BG43,BD43,BB43,BA43,AY43,AV43,AU43,AT43,AS43,AR43,AQ43,AP43,AO43,AN43,AM43,AL43,AK43,AG43,AF43,AE43,AD43,AC43,AB43,AA43,Z43,Y43,X43,W43,V43,U43,T43,S43,P43,O43,M43,Table7[[#This Row],[Acyl_amino_acids]],E43,F43,G43,)</f>
        <v>2</v>
      </c>
    </row>
    <row r="44" spans="1:106" x14ac:dyDescent="0.25">
      <c r="A44" s="9" t="s">
        <v>800</v>
      </c>
      <c r="B44" s="1" t="s">
        <v>435</v>
      </c>
      <c r="C44" s="1" t="s">
        <v>600</v>
      </c>
      <c r="D44" s="3" t="s">
        <v>192</v>
      </c>
      <c r="E44" s="3" t="s">
        <v>192</v>
      </c>
      <c r="F44" s="3" t="s">
        <v>192</v>
      </c>
      <c r="G44" s="3" t="s">
        <v>192</v>
      </c>
      <c r="H44" s="3">
        <v>1</v>
      </c>
      <c r="I44" s="3" t="s">
        <v>192</v>
      </c>
      <c r="J44" s="3" t="s">
        <v>192</v>
      </c>
      <c r="K44" s="3" t="s">
        <v>192</v>
      </c>
      <c r="L44" s="3" t="s">
        <v>192</v>
      </c>
      <c r="M44" s="3" t="s">
        <v>192</v>
      </c>
      <c r="N44" s="3" t="s">
        <v>192</v>
      </c>
      <c r="O44" s="3" t="s">
        <v>192</v>
      </c>
      <c r="P44" s="3" t="s">
        <v>192</v>
      </c>
      <c r="Q44" s="3" t="s">
        <v>192</v>
      </c>
      <c r="R44" s="3" t="s">
        <v>192</v>
      </c>
      <c r="S44" s="3" t="s">
        <v>192</v>
      </c>
      <c r="T44" s="3" t="s">
        <v>192</v>
      </c>
      <c r="U44" s="3" t="s">
        <v>192</v>
      </c>
      <c r="V44" s="3" t="s">
        <v>192</v>
      </c>
      <c r="W44" s="3" t="s">
        <v>192</v>
      </c>
      <c r="X44" s="3" t="s">
        <v>192</v>
      </c>
      <c r="Y44" s="3" t="s">
        <v>192</v>
      </c>
      <c r="Z44" s="3" t="s">
        <v>192</v>
      </c>
      <c r="AA44" s="3" t="s">
        <v>192</v>
      </c>
      <c r="AB44" s="3">
        <v>1</v>
      </c>
      <c r="AC44" s="3" t="s">
        <v>192</v>
      </c>
      <c r="AD44" s="3" t="s">
        <v>192</v>
      </c>
      <c r="AE44" s="3" t="s">
        <v>192</v>
      </c>
      <c r="AF44" s="3" t="s">
        <v>192</v>
      </c>
      <c r="AG44" s="3" t="s">
        <v>192</v>
      </c>
      <c r="AH44" s="3">
        <v>1</v>
      </c>
      <c r="AI44" s="3" t="s">
        <v>192</v>
      </c>
      <c r="AJ44" s="3" t="s">
        <v>192</v>
      </c>
      <c r="AK44" s="3" t="s">
        <v>192</v>
      </c>
      <c r="AL44" s="3">
        <v>1</v>
      </c>
      <c r="AM44" s="3" t="s">
        <v>192</v>
      </c>
      <c r="AN44" s="3" t="s">
        <v>192</v>
      </c>
      <c r="AO44" s="3" t="s">
        <v>192</v>
      </c>
      <c r="AP44" s="3" t="s">
        <v>192</v>
      </c>
      <c r="AQ44" s="3">
        <v>1</v>
      </c>
      <c r="AR44" s="3" t="s">
        <v>192</v>
      </c>
      <c r="AS44" s="3" t="s">
        <v>192</v>
      </c>
      <c r="AT44" s="3" t="s">
        <v>192</v>
      </c>
      <c r="AU44" s="3" t="s">
        <v>192</v>
      </c>
      <c r="AV44" s="3" t="s">
        <v>192</v>
      </c>
      <c r="AW44" s="3" t="s">
        <v>192</v>
      </c>
      <c r="AX44" s="3" t="s">
        <v>192</v>
      </c>
      <c r="AY44" s="3" t="s">
        <v>192</v>
      </c>
      <c r="AZ44" s="3" t="s">
        <v>192</v>
      </c>
      <c r="BA44" s="3" t="s">
        <v>192</v>
      </c>
      <c r="BB44" s="3" t="s">
        <v>192</v>
      </c>
      <c r="BC44" s="3">
        <v>1</v>
      </c>
      <c r="BD44" s="3" t="s">
        <v>192</v>
      </c>
      <c r="BE44" s="3" t="s">
        <v>192</v>
      </c>
      <c r="BF44" s="3" t="s">
        <v>192</v>
      </c>
      <c r="BG44" s="3" t="s">
        <v>192</v>
      </c>
      <c r="BH44" s="3" t="s">
        <v>192</v>
      </c>
      <c r="BI44" s="3" t="s">
        <v>192</v>
      </c>
      <c r="BJ44" s="3" t="s">
        <v>192</v>
      </c>
      <c r="BK44" s="3" t="s">
        <v>192</v>
      </c>
      <c r="BL44" s="3">
        <v>4</v>
      </c>
      <c r="BM44" s="3" t="s">
        <v>192</v>
      </c>
      <c r="BN44" s="3" t="s">
        <v>192</v>
      </c>
      <c r="BO44" s="3" t="s">
        <v>192</v>
      </c>
      <c r="BP44" s="3" t="s">
        <v>192</v>
      </c>
      <c r="BQ44" s="3" t="s">
        <v>192</v>
      </c>
      <c r="BR44" s="3" t="s">
        <v>192</v>
      </c>
      <c r="BS44" s="3">
        <v>1</v>
      </c>
      <c r="BT44" s="3" t="s">
        <v>192</v>
      </c>
      <c r="BU44" s="3" t="s">
        <v>192</v>
      </c>
      <c r="BV44" s="3" t="s">
        <v>192</v>
      </c>
      <c r="BW44" s="3" t="s">
        <v>192</v>
      </c>
      <c r="BX44" s="3" t="s">
        <v>192</v>
      </c>
      <c r="BY44" s="3" t="s">
        <v>192</v>
      </c>
      <c r="BZ44" s="3" t="s">
        <v>192</v>
      </c>
      <c r="CA44" s="3" t="s">
        <v>192</v>
      </c>
      <c r="CB44" s="3" t="s">
        <v>192</v>
      </c>
      <c r="CC44" s="3" t="s">
        <v>192</v>
      </c>
      <c r="CD44" s="3" t="s">
        <v>192</v>
      </c>
      <c r="CE44" s="3" t="s">
        <v>192</v>
      </c>
      <c r="CF44" s="3" t="s">
        <v>192</v>
      </c>
      <c r="CG44" s="3">
        <v>3</v>
      </c>
      <c r="CH44" s="3" t="s">
        <v>192</v>
      </c>
      <c r="CI44" s="3" t="s">
        <v>192</v>
      </c>
      <c r="CJ44" s="3" t="s">
        <v>192</v>
      </c>
      <c r="CK44" s="3" t="s">
        <v>192</v>
      </c>
      <c r="CL44" s="3" t="s">
        <v>192</v>
      </c>
      <c r="CM44" s="3" t="s">
        <v>192</v>
      </c>
      <c r="CN44" s="3" t="s">
        <v>192</v>
      </c>
      <c r="CO44" s="3" t="s">
        <v>192</v>
      </c>
      <c r="CP44" s="3" t="s">
        <v>192</v>
      </c>
      <c r="CQ44" s="3" t="s">
        <v>192</v>
      </c>
      <c r="CR44" s="3" t="s">
        <v>192</v>
      </c>
      <c r="CS44" s="3" t="s">
        <v>192</v>
      </c>
      <c r="CT44" s="1">
        <f>SUM(Table7[[#This Row],[Acyl_amino_acids]:[T3PKS]])</f>
        <v>14</v>
      </c>
      <c r="CU44" s="2" t="s">
        <v>601</v>
      </c>
      <c r="CW44" s="1">
        <f>Table7[[#This Row],[NRPS]]</f>
        <v>4</v>
      </c>
      <c r="CX44" s="1">
        <f>SUM(CP44,CR44,CS44,Table7[[#This Row],[T1PKS, T3PKS]])</f>
        <v>0</v>
      </c>
      <c r="CY44" s="1">
        <f t="shared" si="0"/>
        <v>1</v>
      </c>
      <c r="CZ44" s="1">
        <f>Table7[[#This Row],[Terpene]]</f>
        <v>3</v>
      </c>
      <c r="DA44" s="1">
        <f>SUM(Table7[[#This Row],[Thiopeptide]],BH44,BF44,BE44,BC44,AZ44,AX44,AW44,AJ44,AH44,N44,L44,J44,H44,I44,K44,R44,Q44,Table7[[#This Row],[Cyanobactin, LAP]])</f>
        <v>3</v>
      </c>
      <c r="DB44" s="1">
        <f>SUM(CO44,CN44,CL44,CK44,CJ44,CI44,CH44,CF44,CE44,CD44,CB44,CA44,BZ44,BY44,BX44,BW44,BV44,BT44,BR44,BQ44,BP44,BO44,BM44,BK44,BJ44,BI44,BG44,BD44,BB44,BA44,AY44,AV44,AU44,AT44,AS44,AR44,AQ44,AP44,AO44,AN44,AM44,AL44,AK44,AG44,AF44,AE44,AD44,AC44,AB44,AA44,Z44,Y44,X44,W44,V44,U44,T44,S44,P44,O44,M44,Table7[[#This Row],[Acyl_amino_acids]],E44,F44,G44,)</f>
        <v>3</v>
      </c>
    </row>
    <row r="45" spans="1:106" x14ac:dyDescent="0.25">
      <c r="A45" s="9" t="s">
        <v>799</v>
      </c>
      <c r="B45" s="1" t="s">
        <v>435</v>
      </c>
      <c r="C45" s="1" t="s">
        <v>599</v>
      </c>
      <c r="D45" s="3" t="s">
        <v>192</v>
      </c>
      <c r="E45" s="3" t="s">
        <v>192</v>
      </c>
      <c r="F45" s="3" t="s">
        <v>192</v>
      </c>
      <c r="G45" s="3" t="s">
        <v>192</v>
      </c>
      <c r="H45" s="3" t="s">
        <v>192</v>
      </c>
      <c r="I45" s="3" t="s">
        <v>192</v>
      </c>
      <c r="J45" s="3" t="s">
        <v>192</v>
      </c>
      <c r="K45" s="3" t="s">
        <v>192</v>
      </c>
      <c r="L45" s="3" t="s">
        <v>192</v>
      </c>
      <c r="M45" s="3" t="s">
        <v>192</v>
      </c>
      <c r="N45" s="3" t="s">
        <v>192</v>
      </c>
      <c r="O45" s="3" t="s">
        <v>192</v>
      </c>
      <c r="P45" s="3" t="s">
        <v>192</v>
      </c>
      <c r="Q45" s="3" t="s">
        <v>192</v>
      </c>
      <c r="R45" s="3" t="s">
        <v>192</v>
      </c>
      <c r="S45" s="3" t="s">
        <v>192</v>
      </c>
      <c r="T45" s="3" t="s">
        <v>192</v>
      </c>
      <c r="U45" s="3" t="s">
        <v>192</v>
      </c>
      <c r="V45" s="3" t="s">
        <v>192</v>
      </c>
      <c r="W45" s="3" t="s">
        <v>192</v>
      </c>
      <c r="X45" s="3" t="s">
        <v>192</v>
      </c>
      <c r="Y45" s="3">
        <v>1</v>
      </c>
      <c r="Z45" s="3" t="s">
        <v>192</v>
      </c>
      <c r="AA45" s="3" t="s">
        <v>192</v>
      </c>
      <c r="AB45" s="3" t="s">
        <v>192</v>
      </c>
      <c r="AC45" s="3" t="s">
        <v>192</v>
      </c>
      <c r="AD45" s="3" t="s">
        <v>192</v>
      </c>
      <c r="AE45" s="3" t="s">
        <v>192</v>
      </c>
      <c r="AF45" s="3" t="s">
        <v>192</v>
      </c>
      <c r="AG45" s="3" t="s">
        <v>192</v>
      </c>
      <c r="AH45" s="3" t="s">
        <v>192</v>
      </c>
      <c r="AI45" s="3" t="s">
        <v>192</v>
      </c>
      <c r="AJ45" s="3" t="s">
        <v>192</v>
      </c>
      <c r="AK45" s="3" t="s">
        <v>192</v>
      </c>
      <c r="AL45" s="3" t="s">
        <v>192</v>
      </c>
      <c r="AM45" s="3" t="s">
        <v>192</v>
      </c>
      <c r="AN45" s="3" t="s">
        <v>192</v>
      </c>
      <c r="AO45" s="3" t="s">
        <v>192</v>
      </c>
      <c r="AP45" s="3" t="s">
        <v>192</v>
      </c>
      <c r="AQ45" s="3" t="s">
        <v>192</v>
      </c>
      <c r="AR45" s="3" t="s">
        <v>192</v>
      </c>
      <c r="AS45" s="3" t="s">
        <v>192</v>
      </c>
      <c r="AT45" s="3" t="s">
        <v>192</v>
      </c>
      <c r="AU45" s="3" t="s">
        <v>192</v>
      </c>
      <c r="AV45" s="3" t="s">
        <v>192</v>
      </c>
      <c r="AW45" s="3" t="s">
        <v>192</v>
      </c>
      <c r="AX45" s="3" t="s">
        <v>192</v>
      </c>
      <c r="AY45" s="3" t="s">
        <v>192</v>
      </c>
      <c r="AZ45" s="3" t="s">
        <v>192</v>
      </c>
      <c r="BA45" s="3" t="s">
        <v>192</v>
      </c>
      <c r="BB45" s="3" t="s">
        <v>192</v>
      </c>
      <c r="BC45" s="3" t="s">
        <v>192</v>
      </c>
      <c r="BD45" s="3" t="s">
        <v>192</v>
      </c>
      <c r="BE45" s="3" t="s">
        <v>192</v>
      </c>
      <c r="BF45" s="3" t="s">
        <v>192</v>
      </c>
      <c r="BG45" s="3" t="s">
        <v>192</v>
      </c>
      <c r="BH45" s="3" t="s">
        <v>192</v>
      </c>
      <c r="BI45" s="3" t="s">
        <v>192</v>
      </c>
      <c r="BJ45" s="3" t="s">
        <v>192</v>
      </c>
      <c r="BK45" s="3" t="s">
        <v>192</v>
      </c>
      <c r="BL45" s="3" t="s">
        <v>192</v>
      </c>
      <c r="BM45" s="3" t="s">
        <v>192</v>
      </c>
      <c r="BN45" s="3" t="s">
        <v>192</v>
      </c>
      <c r="BO45" s="3" t="s">
        <v>192</v>
      </c>
      <c r="BP45" s="3" t="s">
        <v>192</v>
      </c>
      <c r="BQ45" s="3" t="s">
        <v>192</v>
      </c>
      <c r="BR45" s="3" t="s">
        <v>192</v>
      </c>
      <c r="BS45" s="3" t="s">
        <v>192</v>
      </c>
      <c r="BT45" s="3" t="s">
        <v>192</v>
      </c>
      <c r="BU45" s="3" t="s">
        <v>192</v>
      </c>
      <c r="BV45" s="3" t="s">
        <v>192</v>
      </c>
      <c r="BW45" s="3" t="s">
        <v>192</v>
      </c>
      <c r="BX45" s="3" t="s">
        <v>192</v>
      </c>
      <c r="BY45" s="3" t="s">
        <v>192</v>
      </c>
      <c r="BZ45" s="3" t="s">
        <v>192</v>
      </c>
      <c r="CA45" s="3" t="s">
        <v>192</v>
      </c>
      <c r="CB45" s="3" t="s">
        <v>192</v>
      </c>
      <c r="CC45" s="3" t="s">
        <v>192</v>
      </c>
      <c r="CD45" s="3" t="s">
        <v>192</v>
      </c>
      <c r="CE45" s="3" t="s">
        <v>192</v>
      </c>
      <c r="CF45" s="3" t="s">
        <v>192</v>
      </c>
      <c r="CG45" s="3">
        <v>1</v>
      </c>
      <c r="CH45" s="3" t="s">
        <v>192</v>
      </c>
      <c r="CI45" s="3" t="s">
        <v>192</v>
      </c>
      <c r="CJ45" s="3" t="s">
        <v>192</v>
      </c>
      <c r="CK45" s="3" t="s">
        <v>192</v>
      </c>
      <c r="CL45" s="3" t="s">
        <v>192</v>
      </c>
      <c r="CM45" s="3" t="s">
        <v>192</v>
      </c>
      <c r="CN45" s="3" t="s">
        <v>192</v>
      </c>
      <c r="CO45" s="3" t="s">
        <v>192</v>
      </c>
      <c r="CP45" s="3" t="s">
        <v>192</v>
      </c>
      <c r="CQ45" s="3" t="s">
        <v>192</v>
      </c>
      <c r="CR45" s="3" t="s">
        <v>192</v>
      </c>
      <c r="CS45" s="3" t="s">
        <v>192</v>
      </c>
      <c r="CT45" s="1">
        <f>SUM(Table7[[#This Row],[Acyl_amino_acids]:[T3PKS]])</f>
        <v>2</v>
      </c>
      <c r="CU45" s="3" t="s">
        <v>192</v>
      </c>
      <c r="CW45" s="1" t="str">
        <f>Table7[[#This Row],[NRPS]]</f>
        <v>-</v>
      </c>
      <c r="CX45" s="1">
        <f>SUM(CP45,CR45,CS45,Table7[[#This Row],[T1PKS, T3PKS]])</f>
        <v>0</v>
      </c>
      <c r="CY45" s="1">
        <f t="shared" si="0"/>
        <v>0</v>
      </c>
      <c r="CZ45" s="1">
        <f>Table7[[#This Row],[Terpene]]</f>
        <v>1</v>
      </c>
      <c r="DA45" s="1">
        <f>SUM(Table7[[#This Row],[Thiopeptide]],BH45,BF45,BE45,BC45,AZ45,AX45,AW45,AJ45,AH45,N45,L45,J45,H45,I45,K45,R45,Q45,Table7[[#This Row],[Cyanobactin, LAP]])</f>
        <v>0</v>
      </c>
      <c r="DB45" s="1">
        <f>SUM(CO45,CN45,CL45,CK45,CJ45,CI45,CH45,CF45,CE45,CD45,CB45,CA45,BZ45,BY45,BX45,BW45,BV45,BT45,BR45,BQ45,BP45,BO45,BM45,BK45,BJ45,BI45,BG45,BD45,BB45,BA45,AY45,AV45,AU45,AT45,AS45,AR45,AQ45,AP45,AO45,AN45,AM45,AL45,AK45,AG45,AF45,AE45,AD45,AC45,AB45,AA45,Z45,Y45,X45,W45,V45,U45,T45,S45,P45,O45,M45,Table7[[#This Row],[Acyl_amino_acids]],E45,F45,G45,)</f>
        <v>1</v>
      </c>
    </row>
    <row r="46" spans="1:106" x14ac:dyDescent="0.25">
      <c r="A46" s="9" t="s">
        <v>749</v>
      </c>
      <c r="B46" s="1" t="s">
        <v>435</v>
      </c>
      <c r="C46" s="1" t="s">
        <v>275</v>
      </c>
      <c r="D46" s="1" t="s">
        <v>192</v>
      </c>
      <c r="E46" s="3" t="s">
        <v>192</v>
      </c>
      <c r="F46" s="3" t="s">
        <v>192</v>
      </c>
      <c r="G46" s="3" t="s">
        <v>192</v>
      </c>
      <c r="H46" s="3">
        <v>3</v>
      </c>
      <c r="I46" s="3" t="s">
        <v>192</v>
      </c>
      <c r="J46" s="3" t="s">
        <v>192</v>
      </c>
      <c r="K46" s="3" t="s">
        <v>192</v>
      </c>
      <c r="L46" s="3" t="s">
        <v>192</v>
      </c>
      <c r="M46" s="3" t="s">
        <v>192</v>
      </c>
      <c r="N46" s="3" t="s">
        <v>192</v>
      </c>
      <c r="O46" s="3" t="s">
        <v>192</v>
      </c>
      <c r="P46" s="3" t="s">
        <v>192</v>
      </c>
      <c r="Q46" s="3" t="s">
        <v>192</v>
      </c>
      <c r="R46" s="3" t="s">
        <v>192</v>
      </c>
      <c r="S46" s="3" t="s">
        <v>192</v>
      </c>
      <c r="T46" s="3" t="s">
        <v>192</v>
      </c>
      <c r="U46" s="3" t="s">
        <v>192</v>
      </c>
      <c r="V46" s="3" t="s">
        <v>192</v>
      </c>
      <c r="W46" s="3" t="s">
        <v>192</v>
      </c>
      <c r="X46" s="3" t="s">
        <v>192</v>
      </c>
      <c r="Y46" s="3" t="s">
        <v>192</v>
      </c>
      <c r="Z46" s="3" t="s">
        <v>192</v>
      </c>
      <c r="AA46" s="3" t="s">
        <v>192</v>
      </c>
      <c r="AB46" s="3" t="s">
        <v>192</v>
      </c>
      <c r="AC46" s="3" t="s">
        <v>192</v>
      </c>
      <c r="AD46" s="3" t="s">
        <v>192</v>
      </c>
      <c r="AE46" s="3" t="s">
        <v>192</v>
      </c>
      <c r="AF46" s="3" t="s">
        <v>192</v>
      </c>
      <c r="AG46" s="3" t="s">
        <v>192</v>
      </c>
      <c r="AH46" s="3" t="s">
        <v>192</v>
      </c>
      <c r="AI46" s="3" t="s">
        <v>192</v>
      </c>
      <c r="AJ46" s="3" t="s">
        <v>192</v>
      </c>
      <c r="AK46" s="3" t="s">
        <v>192</v>
      </c>
      <c r="AL46" s="3">
        <v>1</v>
      </c>
      <c r="AM46" s="3" t="s">
        <v>192</v>
      </c>
      <c r="AN46" s="3">
        <v>1</v>
      </c>
      <c r="AO46" s="3" t="s">
        <v>192</v>
      </c>
      <c r="AP46" s="3" t="s">
        <v>192</v>
      </c>
      <c r="AQ46" s="3">
        <v>1</v>
      </c>
      <c r="AR46" s="3" t="s">
        <v>192</v>
      </c>
      <c r="AS46" s="3" t="s">
        <v>192</v>
      </c>
      <c r="AT46" s="3" t="s">
        <v>192</v>
      </c>
      <c r="AU46" s="3" t="s">
        <v>192</v>
      </c>
      <c r="AV46" s="3" t="s">
        <v>192</v>
      </c>
      <c r="AW46" s="3" t="s">
        <v>192</v>
      </c>
      <c r="AX46" s="3" t="s">
        <v>192</v>
      </c>
      <c r="AY46" s="3" t="s">
        <v>192</v>
      </c>
      <c r="AZ46" s="3" t="s">
        <v>192</v>
      </c>
      <c r="BA46" s="3" t="s">
        <v>192</v>
      </c>
      <c r="BB46" s="3" t="s">
        <v>192</v>
      </c>
      <c r="BC46" s="3" t="s">
        <v>192</v>
      </c>
      <c r="BD46" s="3" t="s">
        <v>192</v>
      </c>
      <c r="BE46" s="3" t="s">
        <v>192</v>
      </c>
      <c r="BF46" s="3">
        <v>2</v>
      </c>
      <c r="BG46" s="3" t="s">
        <v>192</v>
      </c>
      <c r="BH46" s="3" t="s">
        <v>192</v>
      </c>
      <c r="BI46" s="3" t="s">
        <v>192</v>
      </c>
      <c r="BJ46" s="3" t="s">
        <v>192</v>
      </c>
      <c r="BK46" s="3" t="s">
        <v>192</v>
      </c>
      <c r="BL46" s="3">
        <v>1</v>
      </c>
      <c r="BM46" s="3" t="s">
        <v>192</v>
      </c>
      <c r="BN46" s="3" t="s">
        <v>192</v>
      </c>
      <c r="BO46" s="3" t="s">
        <v>192</v>
      </c>
      <c r="BP46" s="3" t="s">
        <v>192</v>
      </c>
      <c r="BQ46" s="3" t="s">
        <v>192</v>
      </c>
      <c r="BR46" s="3" t="s">
        <v>192</v>
      </c>
      <c r="BS46" s="3">
        <v>1</v>
      </c>
      <c r="BT46" s="3" t="s">
        <v>192</v>
      </c>
      <c r="BU46" s="3" t="s">
        <v>192</v>
      </c>
      <c r="BV46" s="3" t="s">
        <v>192</v>
      </c>
      <c r="BW46" s="3" t="s">
        <v>192</v>
      </c>
      <c r="BX46" s="3" t="s">
        <v>192</v>
      </c>
      <c r="BY46" s="3" t="s">
        <v>192</v>
      </c>
      <c r="BZ46" s="3" t="s">
        <v>192</v>
      </c>
      <c r="CA46" s="3" t="s">
        <v>192</v>
      </c>
      <c r="CB46" s="3" t="s">
        <v>192</v>
      </c>
      <c r="CC46" s="3" t="s">
        <v>192</v>
      </c>
      <c r="CD46" s="3" t="s">
        <v>192</v>
      </c>
      <c r="CE46" s="3" t="s">
        <v>192</v>
      </c>
      <c r="CF46" s="3" t="s">
        <v>192</v>
      </c>
      <c r="CG46" s="3">
        <v>3</v>
      </c>
      <c r="CH46" s="3" t="s">
        <v>192</v>
      </c>
      <c r="CI46" s="3" t="s">
        <v>192</v>
      </c>
      <c r="CJ46" s="3" t="s">
        <v>192</v>
      </c>
      <c r="CK46" s="3" t="s">
        <v>192</v>
      </c>
      <c r="CL46" s="3" t="s">
        <v>192</v>
      </c>
      <c r="CM46" s="3" t="s">
        <v>192</v>
      </c>
      <c r="CN46" s="3" t="s">
        <v>192</v>
      </c>
      <c r="CO46" s="3" t="s">
        <v>192</v>
      </c>
      <c r="CP46" s="3" t="s">
        <v>192</v>
      </c>
      <c r="CQ46" s="3" t="s">
        <v>192</v>
      </c>
      <c r="CR46" s="3" t="s">
        <v>192</v>
      </c>
      <c r="CS46" s="3" t="s">
        <v>192</v>
      </c>
      <c r="CT46" s="1">
        <f>SUM(Table7[[#This Row],[Acyl_amino_acids]:[T3PKS]])</f>
        <v>13</v>
      </c>
      <c r="CU46" s="2" t="s">
        <v>196</v>
      </c>
      <c r="CW46" s="1">
        <f>Table7[[#This Row],[NRPS]]</f>
        <v>1</v>
      </c>
      <c r="CX46" s="1">
        <f>SUM(CP46,CR46,CS46,Table7[[#This Row],[T1PKS, T3PKS]])</f>
        <v>0</v>
      </c>
      <c r="CY46" s="1">
        <f t="shared" si="0"/>
        <v>1</v>
      </c>
      <c r="CZ46" s="1">
        <f>Table7[[#This Row],[Terpene]]</f>
        <v>3</v>
      </c>
      <c r="DA46" s="1">
        <f>SUM(Table7[[#This Row],[Thiopeptide]],BH46,BF46,BE46,BC46,AZ46,AX46,AW46,AJ46,AH46,N46,L46,J46,H46,I46,K46,R46,Q46,Table7[[#This Row],[Cyanobactin, LAP]])</f>
        <v>5</v>
      </c>
      <c r="DB46" s="1">
        <f>SUM(CO46,CN46,CL46,CK46,CJ46,CI46,CH46,CF46,CE46,CD46,CB46,CA46,BZ46,BY46,BX46,BW46,BV46,BT46,BR46,BQ46,BP46,BO46,BM46,BK46,BJ46,BI46,BG46,BD46,BB46,BA46,AY46,AV46,AU46,AT46,AS46,AR46,AQ46,AP46,AO46,AN46,AM46,AL46,AK46,AG46,AF46,AE46,AD46,AC46,AB46,AA46,Z46,Y46,X46,W46,V46,U46,T46,S46,P46,O46,M46,Table7[[#This Row],[Acyl_amino_acids]],E46,F46,G46,)</f>
        <v>3</v>
      </c>
    </row>
    <row r="47" spans="1:106" x14ac:dyDescent="0.25">
      <c r="A47" s="9" t="s">
        <v>777</v>
      </c>
      <c r="B47" s="1" t="s">
        <v>435</v>
      </c>
      <c r="C47" s="1" t="s">
        <v>276</v>
      </c>
      <c r="D47" s="3" t="s">
        <v>192</v>
      </c>
      <c r="E47" s="3" t="s">
        <v>192</v>
      </c>
      <c r="F47" s="3" t="s">
        <v>192</v>
      </c>
      <c r="G47" s="3" t="s">
        <v>192</v>
      </c>
      <c r="H47" s="3">
        <v>2</v>
      </c>
      <c r="I47" s="3" t="s">
        <v>192</v>
      </c>
      <c r="J47" s="3" t="s">
        <v>192</v>
      </c>
      <c r="K47" s="3" t="s">
        <v>192</v>
      </c>
      <c r="L47" s="3" t="s">
        <v>192</v>
      </c>
      <c r="M47" s="3" t="s">
        <v>192</v>
      </c>
      <c r="N47" s="3" t="s">
        <v>192</v>
      </c>
      <c r="O47" s="3" t="s">
        <v>192</v>
      </c>
      <c r="P47" s="3" t="s">
        <v>192</v>
      </c>
      <c r="Q47" s="3" t="s">
        <v>192</v>
      </c>
      <c r="R47" s="3" t="s">
        <v>192</v>
      </c>
      <c r="S47" s="3" t="s">
        <v>192</v>
      </c>
      <c r="T47" s="3" t="s">
        <v>192</v>
      </c>
      <c r="U47" s="3" t="s">
        <v>192</v>
      </c>
      <c r="V47" s="3" t="s">
        <v>192</v>
      </c>
      <c r="W47" s="3" t="s">
        <v>192</v>
      </c>
      <c r="X47" s="3" t="s">
        <v>192</v>
      </c>
      <c r="Y47" s="3" t="s">
        <v>192</v>
      </c>
      <c r="Z47" s="3" t="s">
        <v>192</v>
      </c>
      <c r="AA47" s="3" t="s">
        <v>192</v>
      </c>
      <c r="AB47" s="3" t="s">
        <v>192</v>
      </c>
      <c r="AC47" s="3" t="s">
        <v>192</v>
      </c>
      <c r="AD47" s="3" t="s">
        <v>192</v>
      </c>
      <c r="AE47" s="3" t="s">
        <v>192</v>
      </c>
      <c r="AF47" s="3" t="s">
        <v>192</v>
      </c>
      <c r="AG47" s="3" t="s">
        <v>192</v>
      </c>
      <c r="AH47" s="3" t="s">
        <v>192</v>
      </c>
      <c r="AI47" s="3" t="s">
        <v>192</v>
      </c>
      <c r="AJ47" s="3" t="s">
        <v>192</v>
      </c>
      <c r="AK47" s="3" t="s">
        <v>192</v>
      </c>
      <c r="AL47" s="3">
        <v>1</v>
      </c>
      <c r="AM47" s="3" t="s">
        <v>192</v>
      </c>
      <c r="AN47" s="3">
        <v>1</v>
      </c>
      <c r="AO47" s="3" t="s">
        <v>192</v>
      </c>
      <c r="AP47" s="3" t="s">
        <v>192</v>
      </c>
      <c r="AQ47" s="3">
        <v>1</v>
      </c>
      <c r="AR47" s="3" t="s">
        <v>192</v>
      </c>
      <c r="AS47" s="3" t="s">
        <v>192</v>
      </c>
      <c r="AT47" s="3" t="s">
        <v>192</v>
      </c>
      <c r="AU47" s="3" t="s">
        <v>192</v>
      </c>
      <c r="AV47" s="3" t="s">
        <v>192</v>
      </c>
      <c r="AW47" s="3" t="s">
        <v>192</v>
      </c>
      <c r="AX47" s="3" t="s">
        <v>192</v>
      </c>
      <c r="AY47" s="3" t="s">
        <v>192</v>
      </c>
      <c r="AZ47" s="3" t="s">
        <v>192</v>
      </c>
      <c r="BA47" s="3" t="s">
        <v>192</v>
      </c>
      <c r="BB47" s="3" t="s">
        <v>192</v>
      </c>
      <c r="BC47" s="3" t="s">
        <v>192</v>
      </c>
      <c r="BD47" s="3" t="s">
        <v>192</v>
      </c>
      <c r="BE47" s="3" t="s">
        <v>192</v>
      </c>
      <c r="BF47" s="3">
        <v>1</v>
      </c>
      <c r="BG47" s="3" t="s">
        <v>192</v>
      </c>
      <c r="BH47" s="3" t="s">
        <v>192</v>
      </c>
      <c r="BI47" s="3" t="s">
        <v>192</v>
      </c>
      <c r="BJ47" s="3" t="s">
        <v>192</v>
      </c>
      <c r="BK47" s="3" t="s">
        <v>192</v>
      </c>
      <c r="BL47" s="3">
        <v>2</v>
      </c>
      <c r="BM47" s="3" t="s">
        <v>192</v>
      </c>
      <c r="BN47" s="3" t="s">
        <v>192</v>
      </c>
      <c r="BO47" s="3" t="s">
        <v>192</v>
      </c>
      <c r="BP47" s="3">
        <v>1</v>
      </c>
      <c r="BQ47" s="3" t="s">
        <v>192</v>
      </c>
      <c r="BR47" s="3" t="s">
        <v>192</v>
      </c>
      <c r="BS47" s="3" t="s">
        <v>192</v>
      </c>
      <c r="BT47" s="3" t="s">
        <v>192</v>
      </c>
      <c r="BU47" s="3" t="s">
        <v>192</v>
      </c>
      <c r="BV47" s="3" t="s">
        <v>192</v>
      </c>
      <c r="BW47" s="3" t="s">
        <v>192</v>
      </c>
      <c r="BX47" s="3" t="s">
        <v>192</v>
      </c>
      <c r="BY47" s="3" t="s">
        <v>192</v>
      </c>
      <c r="BZ47" s="3" t="s">
        <v>192</v>
      </c>
      <c r="CA47" s="3" t="s">
        <v>192</v>
      </c>
      <c r="CB47" s="3" t="s">
        <v>192</v>
      </c>
      <c r="CC47" s="3" t="s">
        <v>192</v>
      </c>
      <c r="CD47" s="3" t="s">
        <v>192</v>
      </c>
      <c r="CE47" s="3" t="s">
        <v>192</v>
      </c>
      <c r="CF47" s="3" t="s">
        <v>192</v>
      </c>
      <c r="CG47" s="3">
        <v>3</v>
      </c>
      <c r="CH47" s="3" t="s">
        <v>192</v>
      </c>
      <c r="CI47" s="3" t="s">
        <v>192</v>
      </c>
      <c r="CJ47" s="3" t="s">
        <v>192</v>
      </c>
      <c r="CK47" s="3" t="s">
        <v>192</v>
      </c>
      <c r="CL47" s="3" t="s">
        <v>192</v>
      </c>
      <c r="CM47" s="3" t="s">
        <v>192</v>
      </c>
      <c r="CN47" s="3" t="s">
        <v>192</v>
      </c>
      <c r="CO47" s="3" t="s">
        <v>192</v>
      </c>
      <c r="CP47" s="3" t="s">
        <v>192</v>
      </c>
      <c r="CQ47" s="3" t="s">
        <v>192</v>
      </c>
      <c r="CR47" s="3" t="s">
        <v>192</v>
      </c>
      <c r="CS47" s="3" t="s">
        <v>192</v>
      </c>
      <c r="CT47" s="1">
        <f>SUM(Table7[[#This Row],[Acyl_amino_acids]:[T3PKS]])</f>
        <v>12</v>
      </c>
      <c r="CU47" s="2" t="s">
        <v>566</v>
      </c>
      <c r="CW47" s="1">
        <f>Table7[[#This Row],[NRPS]]</f>
        <v>2</v>
      </c>
      <c r="CX47" s="1">
        <f>SUM(CP47,CR47,CS47,Table7[[#This Row],[T1PKS, T3PKS]])</f>
        <v>0</v>
      </c>
      <c r="CY47" s="1">
        <f t="shared" si="0"/>
        <v>0</v>
      </c>
      <c r="CZ47" s="1">
        <f>Table7[[#This Row],[Terpene]]</f>
        <v>3</v>
      </c>
      <c r="DA47" s="1">
        <f>SUM(Table7[[#This Row],[Thiopeptide]],BH47,BF47,BE47,BC47,AZ47,AX47,AW47,AJ47,AH47,N47,L47,J47,H47,I47,K47,R47,Q47,Table7[[#This Row],[Cyanobactin, LAP]])</f>
        <v>3</v>
      </c>
      <c r="DB47" s="1">
        <f>SUM(CO47,CN47,CL47,CK47,CJ47,CI47,CH47,CF47,CE47,CD47,CB47,CA47,BZ47,BY47,BX47,BW47,BV47,BT47,BR47,BQ47,BP47,BO47,BM47,BK47,BJ47,BI47,BG47,BD47,BB47,BA47,AY47,AV47,AU47,AT47,AS47,AR47,AQ47,AP47,AO47,AN47,AM47,AL47,AK47,AG47,AF47,AE47,AD47,AC47,AB47,AA47,Z47,Y47,X47,W47,V47,U47,T47,S47,P47,O47,M47,Table7[[#This Row],[Acyl_amino_acids]],E47,F47,G47,)</f>
        <v>4</v>
      </c>
    </row>
    <row r="48" spans="1:106" x14ac:dyDescent="0.25">
      <c r="A48" s="9" t="s">
        <v>653</v>
      </c>
      <c r="B48" s="1" t="s">
        <v>435</v>
      </c>
      <c r="C48" s="1" t="s">
        <v>279</v>
      </c>
      <c r="D48" s="3" t="s">
        <v>192</v>
      </c>
      <c r="E48" s="3" t="s">
        <v>192</v>
      </c>
      <c r="F48" s="3" t="s">
        <v>192</v>
      </c>
      <c r="G48" s="3" t="s">
        <v>192</v>
      </c>
      <c r="H48" s="3">
        <v>4</v>
      </c>
      <c r="I48" s="3">
        <v>1</v>
      </c>
      <c r="J48" s="3">
        <v>1</v>
      </c>
      <c r="K48" s="3" t="s">
        <v>192</v>
      </c>
      <c r="L48" s="3" t="s">
        <v>192</v>
      </c>
      <c r="M48" s="3" t="s">
        <v>192</v>
      </c>
      <c r="N48" s="3" t="s">
        <v>192</v>
      </c>
      <c r="O48" s="3" t="s">
        <v>192</v>
      </c>
      <c r="P48" s="3" t="s">
        <v>192</v>
      </c>
      <c r="Q48" s="3" t="s">
        <v>192</v>
      </c>
      <c r="R48" s="3" t="s">
        <v>192</v>
      </c>
      <c r="S48" s="3" t="s">
        <v>192</v>
      </c>
      <c r="T48" s="3" t="s">
        <v>192</v>
      </c>
      <c r="U48" s="3" t="s">
        <v>192</v>
      </c>
      <c r="V48" s="3" t="s">
        <v>192</v>
      </c>
      <c r="W48" s="3" t="s">
        <v>192</v>
      </c>
      <c r="X48" s="3" t="s">
        <v>192</v>
      </c>
      <c r="Y48" s="3" t="s">
        <v>192</v>
      </c>
      <c r="Z48" s="3" t="s">
        <v>192</v>
      </c>
      <c r="AA48" s="3" t="s">
        <v>192</v>
      </c>
      <c r="AB48" s="3" t="s">
        <v>192</v>
      </c>
      <c r="AC48" s="3" t="s">
        <v>192</v>
      </c>
      <c r="AD48" s="3" t="s">
        <v>192</v>
      </c>
      <c r="AE48" s="3" t="s">
        <v>192</v>
      </c>
      <c r="AF48" s="3" t="s">
        <v>192</v>
      </c>
      <c r="AG48" s="3" t="s">
        <v>192</v>
      </c>
      <c r="AH48" s="3" t="s">
        <v>192</v>
      </c>
      <c r="AI48" s="3" t="s">
        <v>192</v>
      </c>
      <c r="AJ48" s="3" t="s">
        <v>192</v>
      </c>
      <c r="AK48" s="3" t="s">
        <v>192</v>
      </c>
      <c r="AL48" s="3" t="s">
        <v>192</v>
      </c>
      <c r="AM48" s="3" t="s">
        <v>192</v>
      </c>
      <c r="AN48" s="3" t="s">
        <v>192</v>
      </c>
      <c r="AO48" s="3" t="s">
        <v>192</v>
      </c>
      <c r="AP48" s="3" t="s">
        <v>192</v>
      </c>
      <c r="AQ48" s="3">
        <v>1</v>
      </c>
      <c r="AR48" s="3" t="s">
        <v>192</v>
      </c>
      <c r="AS48" s="3" t="s">
        <v>192</v>
      </c>
      <c r="AT48" s="3" t="s">
        <v>192</v>
      </c>
      <c r="AU48" s="3" t="s">
        <v>192</v>
      </c>
      <c r="AV48" s="3" t="s">
        <v>192</v>
      </c>
      <c r="AW48" s="3" t="s">
        <v>192</v>
      </c>
      <c r="AX48" s="3" t="s">
        <v>192</v>
      </c>
      <c r="AY48" s="3" t="s">
        <v>192</v>
      </c>
      <c r="AZ48" s="3">
        <v>2</v>
      </c>
      <c r="BA48" s="3" t="s">
        <v>192</v>
      </c>
      <c r="BB48" s="3" t="s">
        <v>192</v>
      </c>
      <c r="BC48" s="3" t="s">
        <v>192</v>
      </c>
      <c r="BD48" s="3" t="s">
        <v>192</v>
      </c>
      <c r="BE48" s="3" t="s">
        <v>192</v>
      </c>
      <c r="BF48" s="3" t="s">
        <v>192</v>
      </c>
      <c r="BG48" s="3" t="s">
        <v>192</v>
      </c>
      <c r="BH48" s="3" t="s">
        <v>192</v>
      </c>
      <c r="BI48" s="3" t="s">
        <v>192</v>
      </c>
      <c r="BJ48" s="3" t="s">
        <v>192</v>
      </c>
      <c r="BK48" s="3" t="s">
        <v>192</v>
      </c>
      <c r="BL48" s="3">
        <v>5</v>
      </c>
      <c r="BM48" s="3" t="s">
        <v>192</v>
      </c>
      <c r="BN48" s="3" t="s">
        <v>192</v>
      </c>
      <c r="BO48" s="3" t="s">
        <v>192</v>
      </c>
      <c r="BP48" s="3" t="s">
        <v>192</v>
      </c>
      <c r="BQ48" s="3" t="s">
        <v>192</v>
      </c>
      <c r="BR48" s="3" t="s">
        <v>192</v>
      </c>
      <c r="BS48" s="3">
        <v>5</v>
      </c>
      <c r="BT48" s="3" t="s">
        <v>192</v>
      </c>
      <c r="BU48" s="3" t="s">
        <v>192</v>
      </c>
      <c r="BV48" s="3" t="s">
        <v>192</v>
      </c>
      <c r="BW48" s="3" t="s">
        <v>192</v>
      </c>
      <c r="BX48" s="3" t="s">
        <v>192</v>
      </c>
      <c r="BY48" s="3" t="s">
        <v>192</v>
      </c>
      <c r="BZ48" s="3" t="s">
        <v>192</v>
      </c>
      <c r="CA48" s="3">
        <v>1</v>
      </c>
      <c r="CB48" s="3" t="s">
        <v>192</v>
      </c>
      <c r="CC48" s="3" t="s">
        <v>192</v>
      </c>
      <c r="CD48" s="3" t="s">
        <v>192</v>
      </c>
      <c r="CE48" s="3" t="s">
        <v>192</v>
      </c>
      <c r="CF48" s="3" t="s">
        <v>192</v>
      </c>
      <c r="CG48" s="3">
        <v>3</v>
      </c>
      <c r="CH48" s="3" t="s">
        <v>192</v>
      </c>
      <c r="CI48" s="3" t="s">
        <v>192</v>
      </c>
      <c r="CJ48" s="3" t="s">
        <v>192</v>
      </c>
      <c r="CK48" s="3" t="s">
        <v>192</v>
      </c>
      <c r="CL48" s="3" t="s">
        <v>192</v>
      </c>
      <c r="CM48" s="3" t="s">
        <v>192</v>
      </c>
      <c r="CN48" s="3" t="s">
        <v>192</v>
      </c>
      <c r="CO48" s="3" t="s">
        <v>192</v>
      </c>
      <c r="CP48" s="3" t="s">
        <v>192</v>
      </c>
      <c r="CQ48" s="3" t="s">
        <v>192</v>
      </c>
      <c r="CR48" s="3" t="s">
        <v>192</v>
      </c>
      <c r="CS48" s="3" t="s">
        <v>192</v>
      </c>
      <c r="CT48" s="1">
        <f>SUM(Table7[[#This Row],[Acyl_amino_acids]:[T3PKS]])</f>
        <v>23</v>
      </c>
      <c r="CU48" s="3" t="s">
        <v>192</v>
      </c>
      <c r="CW48" s="1">
        <f>Table7[[#This Row],[NRPS]]</f>
        <v>5</v>
      </c>
      <c r="CX48" s="1">
        <f>SUM(CP48,CR48,CS48,Table7[[#This Row],[T1PKS, T3PKS]])</f>
        <v>0</v>
      </c>
      <c r="CY48" s="1">
        <f t="shared" si="0"/>
        <v>5</v>
      </c>
      <c r="CZ48" s="1">
        <f>Table7[[#This Row],[Terpene]]</f>
        <v>3</v>
      </c>
      <c r="DA48" s="1">
        <f>SUM(Table7[[#This Row],[Thiopeptide]],BH48,BF48,BE48,BC48,AZ48,AX48,AW48,AJ48,AH48,N48,L48,J48,H48,I48,K48,R48,Q48,Table7[[#This Row],[Cyanobactin, LAP]])</f>
        <v>8</v>
      </c>
      <c r="DB48" s="1">
        <f>SUM(CO48,CN48,CL48,CK48,CJ48,CI48,CH48,CF48,CE48,CD48,CB48,CA48,BZ48,BY48,BX48,BW48,BV48,BT48,BR48,BQ48,BP48,BO48,BM48,BK48,BJ48,BI48,BG48,BD48,BB48,BA48,AY48,AV48,AU48,AT48,AS48,AR48,AQ48,AP48,AO48,AN48,AM48,AL48,AK48,AG48,AF48,AE48,AD48,AC48,AB48,AA48,Z48,Y48,X48,W48,V48,U48,T48,S48,P48,O48,M48,Table7[[#This Row],[Acyl_amino_acids]],E48,F48,G48,)</f>
        <v>2</v>
      </c>
    </row>
    <row r="49" spans="1:106" x14ac:dyDescent="0.25">
      <c r="A49" s="9" t="s">
        <v>715</v>
      </c>
      <c r="B49" s="1" t="s">
        <v>435</v>
      </c>
      <c r="C49" s="1" t="s">
        <v>280</v>
      </c>
      <c r="D49" s="1" t="s">
        <v>192</v>
      </c>
      <c r="E49" s="1" t="s">
        <v>192</v>
      </c>
      <c r="F49" s="3">
        <v>1</v>
      </c>
      <c r="G49" s="3" t="s">
        <v>192</v>
      </c>
      <c r="H49" s="3">
        <v>1</v>
      </c>
      <c r="I49" s="3" t="s">
        <v>192</v>
      </c>
      <c r="J49" s="3" t="s">
        <v>192</v>
      </c>
      <c r="K49" s="3" t="s">
        <v>192</v>
      </c>
      <c r="L49" s="3" t="s">
        <v>192</v>
      </c>
      <c r="M49" s="3" t="s">
        <v>192</v>
      </c>
      <c r="N49" s="3" t="s">
        <v>192</v>
      </c>
      <c r="O49" s="3" t="s">
        <v>192</v>
      </c>
      <c r="P49" s="3" t="s">
        <v>192</v>
      </c>
      <c r="Q49" s="3" t="s">
        <v>192</v>
      </c>
      <c r="R49" s="3" t="s">
        <v>192</v>
      </c>
      <c r="S49" s="3" t="s">
        <v>192</v>
      </c>
      <c r="T49" s="3" t="s">
        <v>192</v>
      </c>
      <c r="U49" s="3" t="s">
        <v>192</v>
      </c>
      <c r="V49" s="3" t="s">
        <v>192</v>
      </c>
      <c r="W49" s="3" t="s">
        <v>192</v>
      </c>
      <c r="X49" s="3" t="s">
        <v>192</v>
      </c>
      <c r="Y49" s="3" t="s">
        <v>192</v>
      </c>
      <c r="Z49" s="3" t="s">
        <v>192</v>
      </c>
      <c r="AA49" s="3" t="s">
        <v>192</v>
      </c>
      <c r="AB49" s="3" t="s">
        <v>192</v>
      </c>
      <c r="AC49" s="3" t="s">
        <v>192</v>
      </c>
      <c r="AD49" s="3" t="s">
        <v>192</v>
      </c>
      <c r="AE49" s="3" t="s">
        <v>192</v>
      </c>
      <c r="AF49" s="3" t="s">
        <v>192</v>
      </c>
      <c r="AG49" s="3" t="s">
        <v>192</v>
      </c>
      <c r="AH49" s="3" t="s">
        <v>192</v>
      </c>
      <c r="AI49" s="3" t="s">
        <v>192</v>
      </c>
      <c r="AJ49" s="3" t="s">
        <v>192</v>
      </c>
      <c r="AK49" s="3" t="s">
        <v>192</v>
      </c>
      <c r="AL49" s="3" t="s">
        <v>192</v>
      </c>
      <c r="AM49" s="3" t="s">
        <v>192</v>
      </c>
      <c r="AN49" s="3" t="s">
        <v>192</v>
      </c>
      <c r="AO49" s="3" t="s">
        <v>192</v>
      </c>
      <c r="AP49" s="3" t="s">
        <v>192</v>
      </c>
      <c r="AQ49" s="3" t="s">
        <v>192</v>
      </c>
      <c r="AR49" s="3" t="s">
        <v>192</v>
      </c>
      <c r="AS49" s="3" t="s">
        <v>192</v>
      </c>
      <c r="AT49" s="3" t="s">
        <v>192</v>
      </c>
      <c r="AU49" s="3" t="s">
        <v>192</v>
      </c>
      <c r="AV49" s="3" t="s">
        <v>192</v>
      </c>
      <c r="AW49" s="3" t="s">
        <v>192</v>
      </c>
      <c r="AX49" s="3" t="s">
        <v>192</v>
      </c>
      <c r="AY49" s="3" t="s">
        <v>192</v>
      </c>
      <c r="AZ49" s="3" t="s">
        <v>192</v>
      </c>
      <c r="BA49" s="3" t="s">
        <v>192</v>
      </c>
      <c r="BB49" s="3" t="s">
        <v>192</v>
      </c>
      <c r="BC49" s="3" t="s">
        <v>192</v>
      </c>
      <c r="BD49" s="3" t="s">
        <v>192</v>
      </c>
      <c r="BE49" s="3" t="s">
        <v>192</v>
      </c>
      <c r="BF49" s="3" t="s">
        <v>192</v>
      </c>
      <c r="BG49" s="3" t="s">
        <v>192</v>
      </c>
      <c r="BH49" s="3" t="s">
        <v>192</v>
      </c>
      <c r="BI49" s="3" t="s">
        <v>192</v>
      </c>
      <c r="BJ49" s="3" t="s">
        <v>192</v>
      </c>
      <c r="BK49" s="3" t="s">
        <v>192</v>
      </c>
      <c r="BL49" s="3" t="s">
        <v>192</v>
      </c>
      <c r="BM49" s="3" t="s">
        <v>192</v>
      </c>
      <c r="BN49" s="3" t="s">
        <v>192</v>
      </c>
      <c r="BO49" s="3" t="s">
        <v>192</v>
      </c>
      <c r="BP49" s="3" t="s">
        <v>192</v>
      </c>
      <c r="BQ49" s="3" t="s">
        <v>192</v>
      </c>
      <c r="BR49" s="3" t="s">
        <v>192</v>
      </c>
      <c r="BS49" s="3" t="s">
        <v>192</v>
      </c>
      <c r="BT49" s="3" t="s">
        <v>192</v>
      </c>
      <c r="BU49" s="3" t="s">
        <v>192</v>
      </c>
      <c r="BV49" s="3" t="s">
        <v>192</v>
      </c>
      <c r="BW49" s="3" t="s">
        <v>192</v>
      </c>
      <c r="BX49" s="3" t="s">
        <v>192</v>
      </c>
      <c r="BY49" s="3" t="s">
        <v>192</v>
      </c>
      <c r="BZ49" s="3" t="s">
        <v>192</v>
      </c>
      <c r="CA49" s="3" t="s">
        <v>192</v>
      </c>
      <c r="CB49" s="3" t="s">
        <v>192</v>
      </c>
      <c r="CC49" s="3" t="s">
        <v>192</v>
      </c>
      <c r="CD49" s="3" t="s">
        <v>192</v>
      </c>
      <c r="CE49" s="3" t="s">
        <v>192</v>
      </c>
      <c r="CF49" s="3">
        <v>1</v>
      </c>
      <c r="CG49" s="3">
        <v>2</v>
      </c>
      <c r="CH49" s="3" t="s">
        <v>192</v>
      </c>
      <c r="CI49" s="3" t="s">
        <v>192</v>
      </c>
      <c r="CJ49" s="3" t="s">
        <v>192</v>
      </c>
      <c r="CK49" s="3" t="s">
        <v>192</v>
      </c>
      <c r="CL49" s="3" t="s">
        <v>192</v>
      </c>
      <c r="CM49" s="3" t="s">
        <v>192</v>
      </c>
      <c r="CN49" s="3" t="s">
        <v>192</v>
      </c>
      <c r="CO49" s="3" t="s">
        <v>192</v>
      </c>
      <c r="CP49" s="3" t="s">
        <v>192</v>
      </c>
      <c r="CQ49" s="3" t="s">
        <v>192</v>
      </c>
      <c r="CR49" s="3" t="s">
        <v>192</v>
      </c>
      <c r="CS49" s="3" t="s">
        <v>192</v>
      </c>
      <c r="CT49" s="1">
        <f>SUM(Table7[[#This Row],[Acyl_amino_acids]:[T3PKS]])</f>
        <v>5</v>
      </c>
      <c r="CU49" s="3" t="s">
        <v>192</v>
      </c>
      <c r="CW49" s="1" t="str">
        <f>Table7[[#This Row],[NRPS]]</f>
        <v>-</v>
      </c>
      <c r="CX49" s="1">
        <f>SUM(CP49,CR49,CS49,Table7[[#This Row],[T1PKS, T3PKS]])</f>
        <v>0</v>
      </c>
      <c r="CY49" s="1">
        <f t="shared" si="0"/>
        <v>0</v>
      </c>
      <c r="CZ49" s="1">
        <f>Table7[[#This Row],[Terpene]]</f>
        <v>2</v>
      </c>
      <c r="DA49" s="1">
        <f>SUM(Table7[[#This Row],[Thiopeptide]],BH49,BF49,BE49,BC49,AZ49,AX49,AW49,AJ49,AH49,N49,L49,J49,H49,I49,K49,R49,Q49,Table7[[#This Row],[Cyanobactin, LAP]])</f>
        <v>1</v>
      </c>
      <c r="DB49" s="1">
        <f>SUM(CO49,CN49,CL49,CK49,CJ49,CI49,CH49,CF49,CE49,CD49,CB49,CA49,BZ49,BY49,BX49,BW49,BV49,BT49,BR49,BQ49,BP49,BO49,BM49,BK49,BJ49,BI49,BG49,BD49,BB49,BA49,AY49,AV49,AU49,AT49,AS49,AR49,AQ49,AP49,AO49,AN49,AM49,AL49,AK49,AG49,AF49,AE49,AD49,AC49,AB49,AA49,Z49,Y49,X49,W49,V49,U49,T49,S49,P49,O49,M49,Table7[[#This Row],[Acyl_amino_acids]],E49,F49,G49,)</f>
        <v>2</v>
      </c>
    </row>
    <row r="50" spans="1:106" x14ac:dyDescent="0.25">
      <c r="A50" s="9" t="s">
        <v>726</v>
      </c>
      <c r="B50" s="1" t="s">
        <v>435</v>
      </c>
      <c r="C50" s="1" t="s">
        <v>281</v>
      </c>
      <c r="D50" s="1" t="s">
        <v>192</v>
      </c>
      <c r="E50" s="3" t="s">
        <v>192</v>
      </c>
      <c r="F50" s="3" t="s">
        <v>192</v>
      </c>
      <c r="G50" s="3">
        <v>1</v>
      </c>
      <c r="H50" s="3" t="s">
        <v>192</v>
      </c>
      <c r="I50" s="3" t="s">
        <v>192</v>
      </c>
      <c r="J50" s="3" t="s">
        <v>192</v>
      </c>
      <c r="K50" s="3" t="s">
        <v>192</v>
      </c>
      <c r="L50" s="3" t="s">
        <v>192</v>
      </c>
      <c r="M50" s="3" t="s">
        <v>192</v>
      </c>
      <c r="N50" s="3" t="s">
        <v>192</v>
      </c>
      <c r="O50" s="3" t="s">
        <v>192</v>
      </c>
      <c r="P50" s="3" t="s">
        <v>192</v>
      </c>
      <c r="Q50" s="3" t="s">
        <v>192</v>
      </c>
      <c r="R50" s="3" t="s">
        <v>192</v>
      </c>
      <c r="S50" s="3" t="s">
        <v>192</v>
      </c>
      <c r="T50" s="3" t="s">
        <v>192</v>
      </c>
      <c r="U50" s="3" t="s">
        <v>192</v>
      </c>
      <c r="V50" s="3" t="s">
        <v>192</v>
      </c>
      <c r="W50" s="3" t="s">
        <v>192</v>
      </c>
      <c r="X50" s="3" t="s">
        <v>192</v>
      </c>
      <c r="Y50" s="3" t="s">
        <v>192</v>
      </c>
      <c r="Z50" s="3" t="s">
        <v>192</v>
      </c>
      <c r="AA50" s="3" t="s">
        <v>192</v>
      </c>
      <c r="AB50" s="3" t="s">
        <v>192</v>
      </c>
      <c r="AC50" s="3" t="s">
        <v>192</v>
      </c>
      <c r="AD50" s="3" t="s">
        <v>192</v>
      </c>
      <c r="AE50" s="3" t="s">
        <v>192</v>
      </c>
      <c r="AF50" s="3" t="s">
        <v>192</v>
      </c>
      <c r="AG50" s="3" t="s">
        <v>192</v>
      </c>
      <c r="AH50" s="3" t="s">
        <v>192</v>
      </c>
      <c r="AI50" s="3" t="s">
        <v>192</v>
      </c>
      <c r="AJ50" s="3" t="s">
        <v>192</v>
      </c>
      <c r="AK50" s="3" t="s">
        <v>192</v>
      </c>
      <c r="AL50" s="3" t="s">
        <v>192</v>
      </c>
      <c r="AM50" s="3" t="s">
        <v>192</v>
      </c>
      <c r="AN50" s="3" t="s">
        <v>192</v>
      </c>
      <c r="AO50" s="3" t="s">
        <v>192</v>
      </c>
      <c r="AP50" s="3" t="s">
        <v>192</v>
      </c>
      <c r="AQ50" s="3" t="s">
        <v>192</v>
      </c>
      <c r="AR50" s="3" t="s">
        <v>192</v>
      </c>
      <c r="AS50" s="3" t="s">
        <v>192</v>
      </c>
      <c r="AT50" s="3" t="s">
        <v>192</v>
      </c>
      <c r="AU50" s="3" t="s">
        <v>192</v>
      </c>
      <c r="AV50" s="3" t="s">
        <v>192</v>
      </c>
      <c r="AW50" s="3" t="s">
        <v>192</v>
      </c>
      <c r="AX50" s="3" t="s">
        <v>192</v>
      </c>
      <c r="AY50" s="3" t="s">
        <v>192</v>
      </c>
      <c r="AZ50" s="3" t="s">
        <v>192</v>
      </c>
      <c r="BA50" s="3" t="s">
        <v>192</v>
      </c>
      <c r="BB50" s="3" t="s">
        <v>192</v>
      </c>
      <c r="BC50" s="3" t="s">
        <v>192</v>
      </c>
      <c r="BD50" s="3" t="s">
        <v>192</v>
      </c>
      <c r="BE50" s="3" t="s">
        <v>192</v>
      </c>
      <c r="BF50" s="3" t="s">
        <v>192</v>
      </c>
      <c r="BG50" s="3" t="s">
        <v>192</v>
      </c>
      <c r="BH50" s="3" t="s">
        <v>192</v>
      </c>
      <c r="BI50" s="3" t="s">
        <v>192</v>
      </c>
      <c r="BJ50" s="3" t="s">
        <v>192</v>
      </c>
      <c r="BK50" s="3" t="s">
        <v>192</v>
      </c>
      <c r="BL50" s="3" t="s">
        <v>192</v>
      </c>
      <c r="BM50" s="3" t="s">
        <v>192</v>
      </c>
      <c r="BN50" s="3" t="s">
        <v>192</v>
      </c>
      <c r="BO50" s="3" t="s">
        <v>192</v>
      </c>
      <c r="BP50" s="3" t="s">
        <v>192</v>
      </c>
      <c r="BQ50" s="3" t="s">
        <v>192</v>
      </c>
      <c r="BR50" s="3" t="s">
        <v>192</v>
      </c>
      <c r="BS50" s="3">
        <v>1</v>
      </c>
      <c r="BT50" s="3" t="s">
        <v>192</v>
      </c>
      <c r="BU50" s="3" t="s">
        <v>192</v>
      </c>
      <c r="BV50" s="3" t="s">
        <v>192</v>
      </c>
      <c r="BW50" s="3" t="s">
        <v>192</v>
      </c>
      <c r="BX50" s="3" t="s">
        <v>192</v>
      </c>
      <c r="BY50" s="3" t="s">
        <v>192</v>
      </c>
      <c r="BZ50" s="3" t="s">
        <v>192</v>
      </c>
      <c r="CA50" s="3" t="s">
        <v>192</v>
      </c>
      <c r="CB50" s="3" t="s">
        <v>192</v>
      </c>
      <c r="CC50" s="3" t="s">
        <v>192</v>
      </c>
      <c r="CD50" s="3" t="s">
        <v>192</v>
      </c>
      <c r="CE50" s="3" t="s">
        <v>192</v>
      </c>
      <c r="CF50" s="3" t="s">
        <v>192</v>
      </c>
      <c r="CG50" s="3">
        <v>3</v>
      </c>
      <c r="CH50" s="3" t="s">
        <v>192</v>
      </c>
      <c r="CI50" s="3" t="s">
        <v>192</v>
      </c>
      <c r="CJ50" s="3" t="s">
        <v>192</v>
      </c>
      <c r="CK50" s="3" t="s">
        <v>192</v>
      </c>
      <c r="CL50" s="3" t="s">
        <v>192</v>
      </c>
      <c r="CM50" s="3" t="s">
        <v>192</v>
      </c>
      <c r="CN50" s="3" t="s">
        <v>192</v>
      </c>
      <c r="CO50" s="3" t="s">
        <v>192</v>
      </c>
      <c r="CP50" s="3" t="s">
        <v>192</v>
      </c>
      <c r="CQ50" s="3" t="s">
        <v>192</v>
      </c>
      <c r="CR50" s="3" t="s">
        <v>192</v>
      </c>
      <c r="CS50" s="3" t="s">
        <v>192</v>
      </c>
      <c r="CT50" s="1">
        <f>SUM(Table7[[#This Row],[Acyl_amino_acids]:[T3PKS]])</f>
        <v>5</v>
      </c>
      <c r="CU50" s="3" t="s">
        <v>192</v>
      </c>
      <c r="CW50" s="1" t="str">
        <f>Table7[[#This Row],[NRPS]]</f>
        <v>-</v>
      </c>
      <c r="CX50" s="1">
        <f>SUM(CP50,CR50,CS50,Table7[[#This Row],[T1PKS, T3PKS]])</f>
        <v>0</v>
      </c>
      <c r="CY50" s="1">
        <f t="shared" si="0"/>
        <v>1</v>
      </c>
      <c r="CZ50" s="1">
        <f>Table7[[#This Row],[Terpene]]</f>
        <v>3</v>
      </c>
      <c r="DA50" s="1">
        <f>SUM(Table7[[#This Row],[Thiopeptide]],BH50,BF50,BE50,BC50,AZ50,AX50,AW50,AJ50,AH50,N50,L50,J50,H50,I50,K50,R50,Q50,Table7[[#This Row],[Cyanobactin, LAP]])</f>
        <v>0</v>
      </c>
      <c r="DB50" s="1">
        <f>SUM(CO50,CN50,CL50,CK50,CJ50,CI50,CH50,CF50,CE50,CD50,CB50,CA50,BZ50,BY50,BX50,BW50,BV50,BT50,BR50,BQ50,BP50,BO50,BM50,BK50,BJ50,BI50,BG50,BD50,BB50,BA50,AY50,AV50,AU50,AT50,AS50,AR50,AQ50,AP50,AO50,AN50,AM50,AL50,AK50,AG50,AF50,AE50,AD50,AC50,AB50,AA50,Z50,Y50,X50,W50,V50,U50,T50,S50,P50,O50,M50,Table7[[#This Row],[Acyl_amino_acids]],E50,F50,G50,)</f>
        <v>1</v>
      </c>
    </row>
    <row r="51" spans="1:106" x14ac:dyDescent="0.25">
      <c r="A51" s="9" t="s">
        <v>742</v>
      </c>
      <c r="B51" s="1" t="s">
        <v>435</v>
      </c>
      <c r="C51" s="1" t="s">
        <v>282</v>
      </c>
      <c r="D51" s="1" t="s">
        <v>192</v>
      </c>
      <c r="E51" s="3" t="s">
        <v>192</v>
      </c>
      <c r="F51" s="3" t="s">
        <v>192</v>
      </c>
      <c r="G51" s="3" t="s">
        <v>192</v>
      </c>
      <c r="H51" s="3" t="s">
        <v>192</v>
      </c>
      <c r="I51" s="3" t="s">
        <v>192</v>
      </c>
      <c r="J51" s="3" t="s">
        <v>192</v>
      </c>
      <c r="K51" s="3" t="s">
        <v>192</v>
      </c>
      <c r="L51" s="3" t="s">
        <v>192</v>
      </c>
      <c r="M51" s="3" t="s">
        <v>192</v>
      </c>
      <c r="N51" s="3" t="s">
        <v>192</v>
      </c>
      <c r="O51" s="3" t="s">
        <v>192</v>
      </c>
      <c r="P51" s="3" t="s">
        <v>192</v>
      </c>
      <c r="Q51" s="3" t="s">
        <v>192</v>
      </c>
      <c r="R51" s="3" t="s">
        <v>192</v>
      </c>
      <c r="S51" s="3" t="s">
        <v>192</v>
      </c>
      <c r="T51" s="3" t="s">
        <v>192</v>
      </c>
      <c r="U51" s="3" t="s">
        <v>192</v>
      </c>
      <c r="V51" s="3" t="s">
        <v>192</v>
      </c>
      <c r="W51" s="3" t="s">
        <v>192</v>
      </c>
      <c r="X51" s="3" t="s">
        <v>192</v>
      </c>
      <c r="Y51" s="3" t="s">
        <v>192</v>
      </c>
      <c r="Z51" s="3" t="s">
        <v>192</v>
      </c>
      <c r="AA51" s="3" t="s">
        <v>192</v>
      </c>
      <c r="AB51" s="3" t="s">
        <v>192</v>
      </c>
      <c r="AC51" s="3" t="s">
        <v>192</v>
      </c>
      <c r="AD51" s="3" t="s">
        <v>192</v>
      </c>
      <c r="AE51" s="3" t="s">
        <v>192</v>
      </c>
      <c r="AF51" s="3" t="s">
        <v>192</v>
      </c>
      <c r="AG51" s="3" t="s">
        <v>192</v>
      </c>
      <c r="AH51" s="3" t="s">
        <v>192</v>
      </c>
      <c r="AI51" s="3" t="s">
        <v>192</v>
      </c>
      <c r="AJ51" s="3" t="s">
        <v>192</v>
      </c>
      <c r="AK51" s="3" t="s">
        <v>192</v>
      </c>
      <c r="AL51" s="3" t="s">
        <v>192</v>
      </c>
      <c r="AM51" s="3" t="s">
        <v>192</v>
      </c>
      <c r="AN51" s="3" t="s">
        <v>192</v>
      </c>
      <c r="AO51" s="3" t="s">
        <v>192</v>
      </c>
      <c r="AP51" s="3" t="s">
        <v>192</v>
      </c>
      <c r="AQ51" s="3" t="s">
        <v>192</v>
      </c>
      <c r="AR51" s="3" t="s">
        <v>192</v>
      </c>
      <c r="AS51" s="3" t="s">
        <v>192</v>
      </c>
      <c r="AT51" s="3" t="s">
        <v>192</v>
      </c>
      <c r="AU51" s="3" t="s">
        <v>192</v>
      </c>
      <c r="AV51" s="3" t="s">
        <v>192</v>
      </c>
      <c r="AW51" s="3" t="s">
        <v>192</v>
      </c>
      <c r="AX51" s="3" t="s">
        <v>192</v>
      </c>
      <c r="AY51" s="3" t="s">
        <v>192</v>
      </c>
      <c r="AZ51" s="3" t="s">
        <v>192</v>
      </c>
      <c r="BA51" s="3" t="s">
        <v>192</v>
      </c>
      <c r="BB51" s="3" t="s">
        <v>192</v>
      </c>
      <c r="BC51" s="3" t="s">
        <v>192</v>
      </c>
      <c r="BD51" s="3" t="s">
        <v>192</v>
      </c>
      <c r="BE51" s="3" t="s">
        <v>192</v>
      </c>
      <c r="BF51" s="3" t="s">
        <v>192</v>
      </c>
      <c r="BG51" s="3" t="s">
        <v>192</v>
      </c>
      <c r="BH51" s="3" t="s">
        <v>192</v>
      </c>
      <c r="BI51" s="3" t="s">
        <v>192</v>
      </c>
      <c r="BJ51" s="3" t="s">
        <v>192</v>
      </c>
      <c r="BK51" s="3" t="s">
        <v>192</v>
      </c>
      <c r="BL51" s="3" t="s">
        <v>192</v>
      </c>
      <c r="BM51" s="3" t="s">
        <v>192</v>
      </c>
      <c r="BN51" s="3" t="s">
        <v>192</v>
      </c>
      <c r="BO51" s="3" t="s">
        <v>192</v>
      </c>
      <c r="BP51" s="3" t="s">
        <v>192</v>
      </c>
      <c r="BQ51" s="3" t="s">
        <v>192</v>
      </c>
      <c r="BR51" s="3" t="s">
        <v>192</v>
      </c>
      <c r="BS51" s="3" t="s">
        <v>192</v>
      </c>
      <c r="BT51" s="3" t="s">
        <v>192</v>
      </c>
      <c r="BU51" s="3" t="s">
        <v>192</v>
      </c>
      <c r="BV51" s="3" t="s">
        <v>192</v>
      </c>
      <c r="BW51" s="3" t="s">
        <v>192</v>
      </c>
      <c r="BX51" s="3" t="s">
        <v>192</v>
      </c>
      <c r="BY51" s="3" t="s">
        <v>192</v>
      </c>
      <c r="BZ51" s="3" t="s">
        <v>192</v>
      </c>
      <c r="CA51" s="3" t="s">
        <v>192</v>
      </c>
      <c r="CB51" s="3" t="s">
        <v>192</v>
      </c>
      <c r="CC51" s="3" t="s">
        <v>192</v>
      </c>
      <c r="CD51" s="3" t="s">
        <v>192</v>
      </c>
      <c r="CE51" s="3" t="s">
        <v>192</v>
      </c>
      <c r="CF51" s="3" t="s">
        <v>192</v>
      </c>
      <c r="CG51" s="3">
        <v>3</v>
      </c>
      <c r="CH51" s="3" t="s">
        <v>192</v>
      </c>
      <c r="CI51" s="3" t="s">
        <v>192</v>
      </c>
      <c r="CJ51" s="3" t="s">
        <v>192</v>
      </c>
      <c r="CK51" s="3" t="s">
        <v>192</v>
      </c>
      <c r="CL51" s="3" t="s">
        <v>192</v>
      </c>
      <c r="CM51" s="3" t="s">
        <v>192</v>
      </c>
      <c r="CN51" s="3" t="s">
        <v>192</v>
      </c>
      <c r="CO51" s="3" t="s">
        <v>192</v>
      </c>
      <c r="CP51" s="3" t="s">
        <v>192</v>
      </c>
      <c r="CQ51" s="3" t="s">
        <v>192</v>
      </c>
      <c r="CR51" s="3" t="s">
        <v>192</v>
      </c>
      <c r="CS51" s="3" t="s">
        <v>192</v>
      </c>
      <c r="CT51" s="1">
        <f>SUM(Table7[[#This Row],[Acyl_amino_acids]:[T3PKS]])</f>
        <v>3</v>
      </c>
      <c r="CU51" s="1" t="s">
        <v>192</v>
      </c>
      <c r="CW51" s="1" t="str">
        <f>Table7[[#This Row],[NRPS]]</f>
        <v>-</v>
      </c>
      <c r="CX51" s="1">
        <f>SUM(CP51,CR51,CS51,Table7[[#This Row],[T1PKS, T3PKS]])</f>
        <v>0</v>
      </c>
      <c r="CY51" s="1">
        <f t="shared" si="0"/>
        <v>0</v>
      </c>
      <c r="CZ51" s="1">
        <f>Table7[[#This Row],[Terpene]]</f>
        <v>3</v>
      </c>
      <c r="DA51" s="1">
        <f>SUM(Table7[[#This Row],[Thiopeptide]],BH51,BF51,BE51,BC51,AZ51,AX51,AW51,AJ51,AH51,N51,L51,J51,H51,I51,K51,R51,Q51,Table7[[#This Row],[Cyanobactin, LAP]])</f>
        <v>0</v>
      </c>
      <c r="DB51" s="1">
        <f>SUM(CO51,CN51,CL51,CK51,CJ51,CI51,CH51,CF51,CE51,CD51,CB51,CA51,BZ51,BY51,BX51,BW51,BV51,BT51,BR51,BQ51,BP51,BO51,BM51,BK51,BJ51,BI51,BG51,BD51,BB51,BA51,AY51,AV51,AU51,AT51,AS51,AR51,AQ51,AP51,AO51,AN51,AM51,AL51,AK51,AG51,AF51,AE51,AD51,AC51,AB51,AA51,Z51,Y51,X51,W51,V51,U51,T51,S51,P51,O51,M51,Table7[[#This Row],[Acyl_amino_acids]],E51,F51,G51,)</f>
        <v>0</v>
      </c>
    </row>
    <row r="52" spans="1:106" x14ac:dyDescent="0.25">
      <c r="A52" s="9" t="s">
        <v>741</v>
      </c>
      <c r="B52" s="1" t="s">
        <v>435</v>
      </c>
      <c r="C52" s="1" t="s">
        <v>283</v>
      </c>
      <c r="D52" s="1" t="s">
        <v>192</v>
      </c>
      <c r="E52" s="3" t="s">
        <v>192</v>
      </c>
      <c r="F52" s="3" t="s">
        <v>192</v>
      </c>
      <c r="G52" s="3" t="s">
        <v>192</v>
      </c>
      <c r="H52" s="3" t="s">
        <v>192</v>
      </c>
      <c r="I52" s="3" t="s">
        <v>192</v>
      </c>
      <c r="J52" s="3" t="s">
        <v>192</v>
      </c>
      <c r="K52" s="3" t="s">
        <v>192</v>
      </c>
      <c r="L52" s="3" t="s">
        <v>192</v>
      </c>
      <c r="M52" s="3" t="s">
        <v>192</v>
      </c>
      <c r="N52" s="3" t="s">
        <v>192</v>
      </c>
      <c r="O52" s="3" t="s">
        <v>192</v>
      </c>
      <c r="P52" s="3" t="s">
        <v>192</v>
      </c>
      <c r="Q52" s="3" t="s">
        <v>192</v>
      </c>
      <c r="R52" s="3" t="s">
        <v>192</v>
      </c>
      <c r="S52" s="3" t="s">
        <v>192</v>
      </c>
      <c r="T52" s="3" t="s">
        <v>192</v>
      </c>
      <c r="U52" s="3" t="s">
        <v>192</v>
      </c>
      <c r="V52" s="3" t="s">
        <v>192</v>
      </c>
      <c r="W52" s="3" t="s">
        <v>192</v>
      </c>
      <c r="X52" s="3" t="s">
        <v>192</v>
      </c>
      <c r="Y52" s="3" t="s">
        <v>192</v>
      </c>
      <c r="Z52" s="3" t="s">
        <v>192</v>
      </c>
      <c r="AA52" s="3" t="s">
        <v>192</v>
      </c>
      <c r="AB52" s="3" t="s">
        <v>192</v>
      </c>
      <c r="AC52" s="3" t="s">
        <v>192</v>
      </c>
      <c r="AD52" s="3" t="s">
        <v>192</v>
      </c>
      <c r="AE52" s="3" t="s">
        <v>192</v>
      </c>
      <c r="AF52" s="3" t="s">
        <v>192</v>
      </c>
      <c r="AG52" s="3" t="s">
        <v>192</v>
      </c>
      <c r="AH52" s="3" t="s">
        <v>192</v>
      </c>
      <c r="AI52" s="3" t="s">
        <v>192</v>
      </c>
      <c r="AJ52" s="3" t="s">
        <v>192</v>
      </c>
      <c r="AK52" s="3" t="s">
        <v>192</v>
      </c>
      <c r="AL52" s="3" t="s">
        <v>192</v>
      </c>
      <c r="AM52" s="3" t="s">
        <v>192</v>
      </c>
      <c r="AN52" s="3" t="s">
        <v>192</v>
      </c>
      <c r="AO52" s="3" t="s">
        <v>192</v>
      </c>
      <c r="AP52" s="3" t="s">
        <v>192</v>
      </c>
      <c r="AQ52" s="3" t="s">
        <v>192</v>
      </c>
      <c r="AR52" s="3" t="s">
        <v>192</v>
      </c>
      <c r="AS52" s="3" t="s">
        <v>192</v>
      </c>
      <c r="AT52" s="3" t="s">
        <v>192</v>
      </c>
      <c r="AU52" s="3" t="s">
        <v>192</v>
      </c>
      <c r="AV52" s="3" t="s">
        <v>192</v>
      </c>
      <c r="AW52" s="3" t="s">
        <v>192</v>
      </c>
      <c r="AX52" s="3" t="s">
        <v>192</v>
      </c>
      <c r="AY52" s="3" t="s">
        <v>192</v>
      </c>
      <c r="AZ52" s="3" t="s">
        <v>192</v>
      </c>
      <c r="BA52" s="3" t="s">
        <v>192</v>
      </c>
      <c r="BB52" s="3" t="s">
        <v>192</v>
      </c>
      <c r="BC52" s="3" t="s">
        <v>192</v>
      </c>
      <c r="BD52" s="3" t="s">
        <v>192</v>
      </c>
      <c r="BE52" s="3" t="s">
        <v>192</v>
      </c>
      <c r="BF52" s="3" t="s">
        <v>192</v>
      </c>
      <c r="BG52" s="3" t="s">
        <v>192</v>
      </c>
      <c r="BH52" s="3" t="s">
        <v>192</v>
      </c>
      <c r="BI52" s="3" t="s">
        <v>192</v>
      </c>
      <c r="BJ52" s="3" t="s">
        <v>192</v>
      </c>
      <c r="BK52" s="3" t="s">
        <v>192</v>
      </c>
      <c r="BL52" s="3">
        <v>1</v>
      </c>
      <c r="BM52" s="3" t="s">
        <v>192</v>
      </c>
      <c r="BN52" s="3" t="s">
        <v>192</v>
      </c>
      <c r="BO52" s="3" t="s">
        <v>192</v>
      </c>
      <c r="BP52" s="3" t="s">
        <v>192</v>
      </c>
      <c r="BQ52" s="3" t="s">
        <v>192</v>
      </c>
      <c r="BR52" s="3" t="s">
        <v>192</v>
      </c>
      <c r="BS52" s="3">
        <v>1</v>
      </c>
      <c r="BT52" s="3" t="s">
        <v>192</v>
      </c>
      <c r="BU52" s="3" t="s">
        <v>192</v>
      </c>
      <c r="BV52" s="3" t="s">
        <v>192</v>
      </c>
      <c r="BW52" s="3" t="s">
        <v>192</v>
      </c>
      <c r="BX52" s="3" t="s">
        <v>192</v>
      </c>
      <c r="BY52" s="3" t="s">
        <v>192</v>
      </c>
      <c r="BZ52" s="3" t="s">
        <v>192</v>
      </c>
      <c r="CA52" s="3" t="s">
        <v>192</v>
      </c>
      <c r="CB52" s="3" t="s">
        <v>192</v>
      </c>
      <c r="CC52" s="3" t="s">
        <v>192</v>
      </c>
      <c r="CD52" s="3" t="s">
        <v>192</v>
      </c>
      <c r="CE52" s="3" t="s">
        <v>192</v>
      </c>
      <c r="CF52" s="3" t="s">
        <v>192</v>
      </c>
      <c r="CG52" s="3">
        <v>3</v>
      </c>
      <c r="CH52" s="3" t="s">
        <v>192</v>
      </c>
      <c r="CI52" s="3" t="s">
        <v>192</v>
      </c>
      <c r="CJ52" s="3" t="s">
        <v>192</v>
      </c>
      <c r="CK52" s="3" t="s">
        <v>192</v>
      </c>
      <c r="CL52" s="3" t="s">
        <v>192</v>
      </c>
      <c r="CM52" s="3" t="s">
        <v>192</v>
      </c>
      <c r="CN52" s="3" t="s">
        <v>192</v>
      </c>
      <c r="CO52" s="3" t="s">
        <v>192</v>
      </c>
      <c r="CP52" s="3" t="s">
        <v>192</v>
      </c>
      <c r="CQ52" s="3" t="s">
        <v>192</v>
      </c>
      <c r="CR52" s="3" t="s">
        <v>192</v>
      </c>
      <c r="CS52" s="3" t="s">
        <v>192</v>
      </c>
      <c r="CT52" s="1">
        <f>SUM(Table7[[#This Row],[Acyl_amino_acids]:[T3PKS]])</f>
        <v>5</v>
      </c>
      <c r="CU52" s="1" t="s">
        <v>192</v>
      </c>
      <c r="CW52" s="1">
        <f>Table7[[#This Row],[NRPS]]</f>
        <v>1</v>
      </c>
      <c r="CX52" s="1">
        <f>SUM(CP52,CR52,CS52,Table7[[#This Row],[T1PKS, T3PKS]])</f>
        <v>0</v>
      </c>
      <c r="CY52" s="1">
        <f t="shared" si="0"/>
        <v>1</v>
      </c>
      <c r="CZ52" s="1">
        <f>Table7[[#This Row],[Terpene]]</f>
        <v>3</v>
      </c>
      <c r="DA52" s="1">
        <f>SUM(Table7[[#This Row],[Thiopeptide]],BH52,BF52,BE52,BC52,AZ52,AX52,AW52,AJ52,AH52,N52,L52,J52,H52,I52,K52,R52,Q52,Table7[[#This Row],[Cyanobactin, LAP]])</f>
        <v>0</v>
      </c>
      <c r="DB52" s="1">
        <f>SUM(CO52,CN52,CL52,CK52,CJ52,CI52,CH52,CF52,CE52,CD52,CB52,CA52,BZ52,BY52,BX52,BW52,BV52,BT52,BR52,BQ52,BP52,BO52,BM52,BK52,BJ52,BI52,BG52,BD52,BB52,BA52,AY52,AV52,AU52,AT52,AS52,AR52,AQ52,AP52,AO52,AN52,AM52,AL52,AK52,AG52,AF52,AE52,AD52,AC52,AB52,AA52,Z52,Y52,X52,W52,V52,U52,T52,S52,P52,O52,M52,Table7[[#This Row],[Acyl_amino_acids]],E52,F52,G52,)</f>
        <v>0</v>
      </c>
    </row>
    <row r="53" spans="1:106" x14ac:dyDescent="0.25">
      <c r="A53" s="9" t="s">
        <v>728</v>
      </c>
      <c r="B53" s="1" t="s">
        <v>435</v>
      </c>
      <c r="C53" s="1" t="s">
        <v>284</v>
      </c>
      <c r="D53" s="1" t="s">
        <v>192</v>
      </c>
      <c r="E53" s="3" t="s">
        <v>192</v>
      </c>
      <c r="F53" s="3">
        <v>1</v>
      </c>
      <c r="G53" s="3" t="s">
        <v>192</v>
      </c>
      <c r="H53" s="3" t="s">
        <v>192</v>
      </c>
      <c r="I53" s="3" t="s">
        <v>192</v>
      </c>
      <c r="J53" s="3" t="s">
        <v>192</v>
      </c>
      <c r="K53" s="3" t="s">
        <v>192</v>
      </c>
      <c r="L53" s="3" t="s">
        <v>192</v>
      </c>
      <c r="M53" s="3" t="s">
        <v>192</v>
      </c>
      <c r="N53" s="3" t="s">
        <v>192</v>
      </c>
      <c r="O53" s="3" t="s">
        <v>192</v>
      </c>
      <c r="P53" s="3" t="s">
        <v>192</v>
      </c>
      <c r="Q53" s="3" t="s">
        <v>192</v>
      </c>
      <c r="R53" s="3" t="s">
        <v>192</v>
      </c>
      <c r="S53" s="3" t="s">
        <v>192</v>
      </c>
      <c r="T53" s="3" t="s">
        <v>192</v>
      </c>
      <c r="U53" s="3" t="s">
        <v>192</v>
      </c>
      <c r="V53" s="3" t="s">
        <v>192</v>
      </c>
      <c r="W53" s="3" t="s">
        <v>192</v>
      </c>
      <c r="X53" s="3" t="s">
        <v>192</v>
      </c>
      <c r="Y53" s="3" t="s">
        <v>192</v>
      </c>
      <c r="Z53" s="3" t="s">
        <v>192</v>
      </c>
      <c r="AA53" s="3" t="s">
        <v>192</v>
      </c>
      <c r="AB53" s="3" t="s">
        <v>192</v>
      </c>
      <c r="AC53" s="3" t="s">
        <v>192</v>
      </c>
      <c r="AD53" s="3" t="s">
        <v>192</v>
      </c>
      <c r="AE53" s="3" t="s">
        <v>192</v>
      </c>
      <c r="AF53" s="3" t="s">
        <v>192</v>
      </c>
      <c r="AG53" s="3" t="s">
        <v>192</v>
      </c>
      <c r="AH53" s="3" t="s">
        <v>192</v>
      </c>
      <c r="AI53" s="3" t="s">
        <v>192</v>
      </c>
      <c r="AJ53" s="3" t="s">
        <v>192</v>
      </c>
      <c r="AK53" s="3" t="s">
        <v>192</v>
      </c>
      <c r="AL53" s="3">
        <v>1</v>
      </c>
      <c r="AM53" s="3" t="s">
        <v>192</v>
      </c>
      <c r="AN53" s="3" t="s">
        <v>192</v>
      </c>
      <c r="AO53" s="3" t="s">
        <v>192</v>
      </c>
      <c r="AP53" s="3" t="s">
        <v>192</v>
      </c>
      <c r="AQ53" s="3" t="s">
        <v>192</v>
      </c>
      <c r="AR53" s="3" t="s">
        <v>192</v>
      </c>
      <c r="AS53" s="3" t="s">
        <v>192</v>
      </c>
      <c r="AT53" s="3" t="s">
        <v>192</v>
      </c>
      <c r="AU53" s="3" t="s">
        <v>192</v>
      </c>
      <c r="AV53" s="3" t="s">
        <v>192</v>
      </c>
      <c r="AW53" s="3" t="s">
        <v>192</v>
      </c>
      <c r="AX53" s="3" t="s">
        <v>192</v>
      </c>
      <c r="AY53" s="3" t="s">
        <v>192</v>
      </c>
      <c r="AZ53" s="3" t="s">
        <v>192</v>
      </c>
      <c r="BA53" s="3" t="s">
        <v>192</v>
      </c>
      <c r="BB53" s="3" t="s">
        <v>192</v>
      </c>
      <c r="BC53" s="3" t="s">
        <v>192</v>
      </c>
      <c r="BD53" s="3" t="s">
        <v>192</v>
      </c>
      <c r="BE53" s="3" t="s">
        <v>192</v>
      </c>
      <c r="BF53" s="3" t="s">
        <v>192</v>
      </c>
      <c r="BG53" s="3" t="s">
        <v>192</v>
      </c>
      <c r="BH53" s="3" t="s">
        <v>192</v>
      </c>
      <c r="BI53" s="3" t="s">
        <v>192</v>
      </c>
      <c r="BJ53" s="3" t="s">
        <v>192</v>
      </c>
      <c r="BK53" s="3" t="s">
        <v>192</v>
      </c>
      <c r="BL53" s="3">
        <v>1</v>
      </c>
      <c r="BM53" s="3" t="s">
        <v>192</v>
      </c>
      <c r="BN53" s="3" t="s">
        <v>192</v>
      </c>
      <c r="BO53" s="3" t="s">
        <v>192</v>
      </c>
      <c r="BP53" s="3" t="s">
        <v>192</v>
      </c>
      <c r="BQ53" s="3" t="s">
        <v>192</v>
      </c>
      <c r="BR53" s="3" t="s">
        <v>192</v>
      </c>
      <c r="BS53" s="3">
        <v>1</v>
      </c>
      <c r="BT53" s="3" t="s">
        <v>192</v>
      </c>
      <c r="BU53" s="3" t="s">
        <v>192</v>
      </c>
      <c r="BV53" s="3" t="s">
        <v>192</v>
      </c>
      <c r="BW53" s="3" t="s">
        <v>192</v>
      </c>
      <c r="BX53" s="3" t="s">
        <v>192</v>
      </c>
      <c r="BY53" s="3" t="s">
        <v>192</v>
      </c>
      <c r="BZ53" s="3" t="s">
        <v>192</v>
      </c>
      <c r="CA53" s="3" t="s">
        <v>192</v>
      </c>
      <c r="CB53" s="3" t="s">
        <v>192</v>
      </c>
      <c r="CC53" s="3" t="s">
        <v>192</v>
      </c>
      <c r="CD53" s="3" t="s">
        <v>192</v>
      </c>
      <c r="CE53" s="3" t="s">
        <v>192</v>
      </c>
      <c r="CF53" s="3" t="s">
        <v>192</v>
      </c>
      <c r="CG53" s="3">
        <v>2</v>
      </c>
      <c r="CH53" s="3" t="s">
        <v>192</v>
      </c>
      <c r="CI53" s="3" t="s">
        <v>192</v>
      </c>
      <c r="CJ53" s="3" t="s">
        <v>192</v>
      </c>
      <c r="CK53" s="3" t="s">
        <v>192</v>
      </c>
      <c r="CL53" s="3" t="s">
        <v>192</v>
      </c>
      <c r="CM53" s="3" t="s">
        <v>192</v>
      </c>
      <c r="CN53" s="3" t="s">
        <v>192</v>
      </c>
      <c r="CO53" s="3" t="s">
        <v>192</v>
      </c>
      <c r="CP53" s="3" t="s">
        <v>192</v>
      </c>
      <c r="CQ53" s="3" t="s">
        <v>192</v>
      </c>
      <c r="CR53" s="3" t="s">
        <v>192</v>
      </c>
      <c r="CS53" s="3" t="s">
        <v>192</v>
      </c>
      <c r="CT53" s="1">
        <f>SUM(Table7[[#This Row],[Acyl_amino_acids]:[T3PKS]])</f>
        <v>6</v>
      </c>
      <c r="CU53" s="3" t="s">
        <v>192</v>
      </c>
      <c r="CW53" s="1">
        <f>Table7[[#This Row],[NRPS]]</f>
        <v>1</v>
      </c>
      <c r="CX53" s="1">
        <f>SUM(CP53,CR53,CS53,Table7[[#This Row],[T1PKS, T3PKS]])</f>
        <v>0</v>
      </c>
      <c r="CY53" s="1">
        <f t="shared" si="0"/>
        <v>1</v>
      </c>
      <c r="CZ53" s="1">
        <f>Table7[[#This Row],[Terpene]]</f>
        <v>2</v>
      </c>
      <c r="DA53" s="1">
        <f>SUM(Table7[[#This Row],[Thiopeptide]],BH53,BF53,BE53,BC53,AZ53,AX53,AW53,AJ53,AH53,N53,L53,J53,H53,I53,K53,R53,Q53,Table7[[#This Row],[Cyanobactin, LAP]])</f>
        <v>0</v>
      </c>
      <c r="DB53" s="1">
        <f>SUM(CO53,CN53,CL53,CK53,CJ53,CI53,CH53,CF53,CE53,CD53,CB53,CA53,BZ53,BY53,BX53,BW53,BV53,BT53,BR53,BQ53,BP53,BO53,BM53,BK53,BJ53,BI53,BG53,BD53,BB53,BA53,AY53,AV53,AU53,AT53,AS53,AR53,AQ53,AP53,AO53,AN53,AM53,AL53,AK53,AG53,AF53,AE53,AD53,AC53,AB53,AA53,Z53,Y53,X53,W53,V53,U53,T53,S53,P53,O53,M53,Table7[[#This Row],[Acyl_amino_acids]],E53,F53,G53,)</f>
        <v>2</v>
      </c>
    </row>
    <row r="54" spans="1:106" x14ac:dyDescent="0.25">
      <c r="A54" s="9" t="s">
        <v>674</v>
      </c>
      <c r="B54" s="1" t="s">
        <v>435</v>
      </c>
      <c r="C54" s="1" t="s">
        <v>285</v>
      </c>
      <c r="D54" s="1" t="s">
        <v>192</v>
      </c>
      <c r="E54" s="1" t="s">
        <v>192</v>
      </c>
      <c r="F54" s="1">
        <v>1</v>
      </c>
      <c r="G54" s="1" t="s">
        <v>192</v>
      </c>
      <c r="H54" s="1" t="s">
        <v>192</v>
      </c>
      <c r="I54" s="1" t="s">
        <v>192</v>
      </c>
      <c r="J54" s="1" t="s">
        <v>192</v>
      </c>
      <c r="K54" s="1" t="s">
        <v>192</v>
      </c>
      <c r="L54" s="1" t="s">
        <v>192</v>
      </c>
      <c r="M54" s="1" t="s">
        <v>192</v>
      </c>
      <c r="N54" s="1" t="s">
        <v>192</v>
      </c>
      <c r="O54" s="1" t="s">
        <v>192</v>
      </c>
      <c r="P54" s="1" t="s">
        <v>192</v>
      </c>
      <c r="Q54" s="1" t="s">
        <v>192</v>
      </c>
      <c r="R54" s="1" t="s">
        <v>192</v>
      </c>
      <c r="S54" s="1" t="s">
        <v>192</v>
      </c>
      <c r="T54" s="1" t="s">
        <v>192</v>
      </c>
      <c r="U54" s="1" t="s">
        <v>192</v>
      </c>
      <c r="V54" s="1" t="s">
        <v>192</v>
      </c>
      <c r="W54" s="1" t="s">
        <v>192</v>
      </c>
      <c r="X54" s="1" t="s">
        <v>192</v>
      </c>
      <c r="Y54" s="1" t="s">
        <v>192</v>
      </c>
      <c r="Z54" s="1" t="s">
        <v>192</v>
      </c>
      <c r="AA54" s="1" t="s">
        <v>192</v>
      </c>
      <c r="AB54" s="1" t="s">
        <v>192</v>
      </c>
      <c r="AC54" s="1" t="s">
        <v>192</v>
      </c>
      <c r="AD54" s="1" t="s">
        <v>192</v>
      </c>
      <c r="AE54" s="1">
        <v>1</v>
      </c>
      <c r="AF54" s="1" t="s">
        <v>192</v>
      </c>
      <c r="AG54" s="1" t="s">
        <v>192</v>
      </c>
      <c r="AH54" s="1" t="s">
        <v>192</v>
      </c>
      <c r="AI54" s="1" t="s">
        <v>192</v>
      </c>
      <c r="AJ54" s="1" t="s">
        <v>192</v>
      </c>
      <c r="AK54" s="1" t="s">
        <v>192</v>
      </c>
      <c r="AL54" s="1">
        <v>1</v>
      </c>
      <c r="AM54" s="1" t="s">
        <v>192</v>
      </c>
      <c r="AN54" s="1" t="s">
        <v>192</v>
      </c>
      <c r="AO54" s="1" t="s">
        <v>192</v>
      </c>
      <c r="AP54" s="1" t="s">
        <v>192</v>
      </c>
      <c r="AQ54" s="1" t="s">
        <v>192</v>
      </c>
      <c r="AR54" s="1">
        <v>1</v>
      </c>
      <c r="AS54" s="1" t="s">
        <v>192</v>
      </c>
      <c r="AT54" s="1" t="s">
        <v>192</v>
      </c>
      <c r="AU54" s="1" t="s">
        <v>192</v>
      </c>
      <c r="AV54" s="1" t="s">
        <v>192</v>
      </c>
      <c r="AW54" s="1" t="s">
        <v>192</v>
      </c>
      <c r="AX54" s="1" t="s">
        <v>192</v>
      </c>
      <c r="AY54" s="1" t="s">
        <v>192</v>
      </c>
      <c r="AZ54" s="1" t="s">
        <v>192</v>
      </c>
      <c r="BA54" s="1" t="s">
        <v>192</v>
      </c>
      <c r="BB54" s="1" t="s">
        <v>192</v>
      </c>
      <c r="BC54" s="1" t="s">
        <v>192</v>
      </c>
      <c r="BD54" s="1" t="s">
        <v>192</v>
      </c>
      <c r="BE54" s="1" t="s">
        <v>192</v>
      </c>
      <c r="BF54" s="1" t="s">
        <v>192</v>
      </c>
      <c r="BG54" s="1" t="s">
        <v>192</v>
      </c>
      <c r="BH54" s="1" t="s">
        <v>192</v>
      </c>
      <c r="BI54" s="1" t="s">
        <v>192</v>
      </c>
      <c r="BJ54" s="1" t="s">
        <v>192</v>
      </c>
      <c r="BK54" s="1" t="s">
        <v>192</v>
      </c>
      <c r="BL54" s="1" t="s">
        <v>192</v>
      </c>
      <c r="BM54" s="1" t="s">
        <v>192</v>
      </c>
      <c r="BN54" s="1" t="s">
        <v>192</v>
      </c>
      <c r="BO54" s="1" t="s">
        <v>192</v>
      </c>
      <c r="BP54" s="1" t="s">
        <v>192</v>
      </c>
      <c r="BQ54" s="1" t="s">
        <v>192</v>
      </c>
      <c r="BR54" s="1" t="s">
        <v>192</v>
      </c>
      <c r="BS54" s="1" t="s">
        <v>192</v>
      </c>
      <c r="BT54" s="1" t="s">
        <v>192</v>
      </c>
      <c r="BU54" s="1" t="s">
        <v>192</v>
      </c>
      <c r="BV54" s="1" t="s">
        <v>192</v>
      </c>
      <c r="BW54" s="1" t="s">
        <v>192</v>
      </c>
      <c r="BX54" s="1" t="s">
        <v>192</v>
      </c>
      <c r="BY54" s="1" t="s">
        <v>192</v>
      </c>
      <c r="BZ54" s="1" t="s">
        <v>192</v>
      </c>
      <c r="CA54" s="1" t="s">
        <v>192</v>
      </c>
      <c r="CB54" s="1" t="s">
        <v>192</v>
      </c>
      <c r="CC54" s="1" t="s">
        <v>192</v>
      </c>
      <c r="CD54" s="1" t="s">
        <v>192</v>
      </c>
      <c r="CE54" s="1" t="s">
        <v>192</v>
      </c>
      <c r="CF54" s="1" t="s">
        <v>192</v>
      </c>
      <c r="CG54" s="1">
        <v>2</v>
      </c>
      <c r="CH54" s="1" t="s">
        <v>192</v>
      </c>
      <c r="CI54" s="1" t="s">
        <v>192</v>
      </c>
      <c r="CJ54" s="1" t="s">
        <v>192</v>
      </c>
      <c r="CK54" s="1" t="s">
        <v>192</v>
      </c>
      <c r="CL54" s="1">
        <v>1</v>
      </c>
      <c r="CM54" s="1" t="s">
        <v>192</v>
      </c>
      <c r="CN54" s="1" t="s">
        <v>192</v>
      </c>
      <c r="CO54" s="1" t="s">
        <v>192</v>
      </c>
      <c r="CP54" s="1" t="s">
        <v>192</v>
      </c>
      <c r="CQ54" s="1" t="s">
        <v>192</v>
      </c>
      <c r="CR54" s="1" t="s">
        <v>192</v>
      </c>
      <c r="CS54" s="1" t="s">
        <v>192</v>
      </c>
      <c r="CT54" s="1">
        <f>SUM(Table7[[#This Row],[Acyl_amino_acids]:[T3PKS]])</f>
        <v>7</v>
      </c>
      <c r="CU54" s="1" t="s">
        <v>192</v>
      </c>
      <c r="CW54" s="1" t="str">
        <f>Table7[[#This Row],[NRPS]]</f>
        <v>-</v>
      </c>
      <c r="CX54" s="1">
        <f>SUM(CP54,CR54,CS54,Table7[[#This Row],[T1PKS, T3PKS]])</f>
        <v>0</v>
      </c>
      <c r="CY54" s="1">
        <f t="shared" si="0"/>
        <v>0</v>
      </c>
      <c r="CZ54" s="1">
        <f>Table7[[#This Row],[Terpene]]</f>
        <v>2</v>
      </c>
      <c r="DA54" s="1">
        <f>SUM(Table7[[#This Row],[Thiopeptide]],BH54,BF54,BE54,BC54,AZ54,AX54,AW54,AJ54,AH54,N54,L54,J54,H54,I54,K54,R54,Q54,Table7[[#This Row],[Cyanobactin, LAP]])</f>
        <v>0</v>
      </c>
      <c r="DB54" s="1">
        <f>SUM(CO54,CN54,CL54,CK54,CJ54,CI54,CH54,CF54,CE54,CD54,CB54,CA54,BZ54,BY54,BX54,BW54,BV54,BT54,BR54,BQ54,BP54,BO54,BM54,BK54,BJ54,BI54,BG54,BD54,BB54,BA54,AY54,AV54,AU54,AT54,AS54,AR54,AQ54,AP54,AO54,AN54,AM54,AL54,AK54,AG54,AF54,AE54,AD54,AC54,AB54,AA54,Z54,Y54,X54,W54,V54,U54,T54,S54,P54,O54,M54,Table7[[#This Row],[Acyl_amino_acids]],E54,F54,G54,)</f>
        <v>5</v>
      </c>
    </row>
    <row r="55" spans="1:106" x14ac:dyDescent="0.25">
      <c r="A55" s="9" t="s">
        <v>639</v>
      </c>
      <c r="B55" s="1" t="s">
        <v>435</v>
      </c>
      <c r="C55" s="1" t="s">
        <v>286</v>
      </c>
      <c r="D55" s="1" t="s">
        <v>192</v>
      </c>
      <c r="E55" s="1">
        <v>1</v>
      </c>
      <c r="F55" s="3" t="s">
        <v>192</v>
      </c>
      <c r="G55" s="3" t="s">
        <v>192</v>
      </c>
      <c r="H55" s="3">
        <v>1</v>
      </c>
      <c r="I55" s="3" t="s">
        <v>192</v>
      </c>
      <c r="J55" s="3" t="s">
        <v>192</v>
      </c>
      <c r="K55" s="3" t="s">
        <v>192</v>
      </c>
      <c r="L55" s="3" t="s">
        <v>192</v>
      </c>
      <c r="M55" s="3" t="s">
        <v>192</v>
      </c>
      <c r="N55" s="3" t="s">
        <v>192</v>
      </c>
      <c r="O55" s="3" t="s">
        <v>192</v>
      </c>
      <c r="P55" s="3" t="s">
        <v>192</v>
      </c>
      <c r="Q55" s="3" t="s">
        <v>192</v>
      </c>
      <c r="R55" s="3" t="s">
        <v>192</v>
      </c>
      <c r="S55" s="3" t="s">
        <v>192</v>
      </c>
      <c r="T55" s="3" t="s">
        <v>192</v>
      </c>
      <c r="U55" s="3" t="s">
        <v>192</v>
      </c>
      <c r="V55" s="3" t="s">
        <v>192</v>
      </c>
      <c r="W55" s="3" t="s">
        <v>192</v>
      </c>
      <c r="X55" s="3" t="s">
        <v>192</v>
      </c>
      <c r="Y55" s="3" t="s">
        <v>192</v>
      </c>
      <c r="Z55" s="3" t="s">
        <v>192</v>
      </c>
      <c r="AA55" s="3" t="s">
        <v>192</v>
      </c>
      <c r="AB55" s="3" t="s">
        <v>192</v>
      </c>
      <c r="AC55" s="3" t="s">
        <v>192</v>
      </c>
      <c r="AD55" s="3" t="s">
        <v>192</v>
      </c>
      <c r="AE55" s="3" t="s">
        <v>192</v>
      </c>
      <c r="AF55" s="3" t="s">
        <v>192</v>
      </c>
      <c r="AG55" s="3" t="s">
        <v>192</v>
      </c>
      <c r="AH55" s="3" t="s">
        <v>192</v>
      </c>
      <c r="AI55" s="3" t="s">
        <v>192</v>
      </c>
      <c r="AJ55" s="3" t="s">
        <v>192</v>
      </c>
      <c r="AK55" s="3" t="s">
        <v>192</v>
      </c>
      <c r="AL55" s="3" t="s">
        <v>192</v>
      </c>
      <c r="AM55" s="3" t="s">
        <v>192</v>
      </c>
      <c r="AN55" s="3" t="s">
        <v>192</v>
      </c>
      <c r="AO55" s="3" t="s">
        <v>192</v>
      </c>
      <c r="AP55" s="3" t="s">
        <v>192</v>
      </c>
      <c r="AQ55" s="3">
        <v>1</v>
      </c>
      <c r="AR55" s="3" t="s">
        <v>192</v>
      </c>
      <c r="AS55" s="3" t="s">
        <v>192</v>
      </c>
      <c r="AT55" s="3" t="s">
        <v>192</v>
      </c>
      <c r="AU55" s="3" t="s">
        <v>192</v>
      </c>
      <c r="AV55" s="3" t="s">
        <v>192</v>
      </c>
      <c r="AW55" s="3" t="s">
        <v>192</v>
      </c>
      <c r="AX55" s="3" t="s">
        <v>192</v>
      </c>
      <c r="AY55" s="3" t="s">
        <v>192</v>
      </c>
      <c r="AZ55" s="3" t="s">
        <v>192</v>
      </c>
      <c r="BA55" s="3" t="s">
        <v>192</v>
      </c>
      <c r="BB55" s="3" t="s">
        <v>192</v>
      </c>
      <c r="BC55" s="3" t="s">
        <v>192</v>
      </c>
      <c r="BD55" s="3" t="s">
        <v>192</v>
      </c>
      <c r="BE55" s="3" t="s">
        <v>192</v>
      </c>
      <c r="BF55" s="3" t="s">
        <v>192</v>
      </c>
      <c r="BG55" s="3" t="s">
        <v>192</v>
      </c>
      <c r="BH55" s="3" t="s">
        <v>192</v>
      </c>
      <c r="BI55" s="3" t="s">
        <v>192</v>
      </c>
      <c r="BJ55" s="3" t="s">
        <v>192</v>
      </c>
      <c r="BK55" s="3" t="s">
        <v>192</v>
      </c>
      <c r="BL55" s="3">
        <v>1</v>
      </c>
      <c r="BM55" s="3" t="s">
        <v>192</v>
      </c>
      <c r="BN55" s="3" t="s">
        <v>192</v>
      </c>
      <c r="BO55" s="3" t="s">
        <v>192</v>
      </c>
      <c r="BP55" s="3" t="s">
        <v>192</v>
      </c>
      <c r="BQ55" s="3" t="s">
        <v>192</v>
      </c>
      <c r="BR55" s="3" t="s">
        <v>192</v>
      </c>
      <c r="BS55" s="3">
        <v>1</v>
      </c>
      <c r="BT55" s="3" t="s">
        <v>192</v>
      </c>
      <c r="BU55" s="3" t="s">
        <v>192</v>
      </c>
      <c r="BV55" s="3" t="s">
        <v>192</v>
      </c>
      <c r="BW55" s="3" t="s">
        <v>192</v>
      </c>
      <c r="BX55" s="3" t="s">
        <v>192</v>
      </c>
      <c r="BY55" s="3" t="s">
        <v>192</v>
      </c>
      <c r="BZ55" s="3" t="s">
        <v>192</v>
      </c>
      <c r="CA55" s="3" t="s">
        <v>192</v>
      </c>
      <c r="CB55" s="3" t="s">
        <v>192</v>
      </c>
      <c r="CC55" s="3" t="s">
        <v>192</v>
      </c>
      <c r="CD55" s="3" t="s">
        <v>192</v>
      </c>
      <c r="CE55" s="3" t="s">
        <v>192</v>
      </c>
      <c r="CF55" s="3" t="s">
        <v>192</v>
      </c>
      <c r="CG55" s="3">
        <v>1</v>
      </c>
      <c r="CH55" s="3" t="s">
        <v>192</v>
      </c>
      <c r="CI55" s="3" t="s">
        <v>192</v>
      </c>
      <c r="CJ55" s="3" t="s">
        <v>192</v>
      </c>
      <c r="CK55" s="3" t="s">
        <v>192</v>
      </c>
      <c r="CL55" s="3" t="s">
        <v>192</v>
      </c>
      <c r="CM55" s="3" t="s">
        <v>192</v>
      </c>
      <c r="CN55" s="3" t="s">
        <v>192</v>
      </c>
      <c r="CO55" s="3" t="s">
        <v>192</v>
      </c>
      <c r="CP55" s="3" t="s">
        <v>192</v>
      </c>
      <c r="CQ55" s="3" t="s">
        <v>192</v>
      </c>
      <c r="CR55" s="3">
        <v>1</v>
      </c>
      <c r="CS55" s="3">
        <v>1</v>
      </c>
      <c r="CT55" s="1">
        <f>SUM(Table7[[#This Row],[Acyl_amino_acids]:[T3PKS]])</f>
        <v>8</v>
      </c>
      <c r="CU55" s="3" t="s">
        <v>192</v>
      </c>
      <c r="CW55" s="1">
        <f>Table7[[#This Row],[NRPS]]</f>
        <v>1</v>
      </c>
      <c r="CX55" s="1">
        <f>SUM(CP55,CR55,CS55,Table7[[#This Row],[T1PKS, T3PKS]])</f>
        <v>2</v>
      </c>
      <c r="CY55" s="1">
        <f t="shared" si="0"/>
        <v>1</v>
      </c>
      <c r="CZ55" s="1">
        <f>Table7[[#This Row],[Terpene]]</f>
        <v>1</v>
      </c>
      <c r="DA55" s="1">
        <f>SUM(Table7[[#This Row],[Thiopeptide]],BH55,BF55,BE55,BC55,AZ55,AX55,AW55,AJ55,AH55,N55,L55,J55,H55,I55,K55,R55,Q55,Table7[[#This Row],[Cyanobactin, LAP]])</f>
        <v>1</v>
      </c>
      <c r="DB55" s="1">
        <f>SUM(CO55,CN55,CL55,CK55,CJ55,CI55,CH55,CF55,CE55,CD55,CB55,CA55,BZ55,BY55,BX55,BW55,BV55,BT55,BR55,BQ55,BP55,BO55,BM55,BK55,BJ55,BI55,BG55,BD55,BB55,BA55,AY55,AV55,AU55,AT55,AS55,AR55,AQ55,AP55,AO55,AN55,AM55,AL55,AK55,AG55,AF55,AE55,AD55,AC55,AB55,AA55,Z55,Y55,X55,W55,V55,U55,T55,S55,P55,O55,M55,Table7[[#This Row],[Acyl_amino_acids]],E55,F55,G55,)</f>
        <v>2</v>
      </c>
    </row>
    <row r="56" spans="1:106" x14ac:dyDescent="0.25">
      <c r="A56" s="9" t="s">
        <v>760</v>
      </c>
      <c r="B56" s="1" t="s">
        <v>435</v>
      </c>
      <c r="C56" s="1" t="s">
        <v>287</v>
      </c>
      <c r="D56" s="1">
        <v>1</v>
      </c>
      <c r="E56" s="3" t="s">
        <v>192</v>
      </c>
      <c r="F56" s="3">
        <v>1</v>
      </c>
      <c r="G56" s="3" t="s">
        <v>192</v>
      </c>
      <c r="H56" s="3" t="s">
        <v>192</v>
      </c>
      <c r="I56" s="3" t="s">
        <v>192</v>
      </c>
      <c r="J56" s="3" t="s">
        <v>192</v>
      </c>
      <c r="K56" s="3" t="s">
        <v>192</v>
      </c>
      <c r="L56" s="3" t="s">
        <v>192</v>
      </c>
      <c r="M56" s="3" t="s">
        <v>192</v>
      </c>
      <c r="N56" s="3" t="s">
        <v>192</v>
      </c>
      <c r="O56" s="3" t="s">
        <v>192</v>
      </c>
      <c r="P56" s="3" t="s">
        <v>192</v>
      </c>
      <c r="Q56" s="3" t="s">
        <v>192</v>
      </c>
      <c r="R56" s="3" t="s">
        <v>192</v>
      </c>
      <c r="S56" s="3" t="s">
        <v>192</v>
      </c>
      <c r="T56" s="3" t="s">
        <v>192</v>
      </c>
      <c r="U56" s="3" t="s">
        <v>192</v>
      </c>
      <c r="V56" s="3" t="s">
        <v>192</v>
      </c>
      <c r="W56" s="3" t="s">
        <v>192</v>
      </c>
      <c r="X56" s="3" t="s">
        <v>192</v>
      </c>
      <c r="Y56" s="3" t="s">
        <v>192</v>
      </c>
      <c r="Z56" s="3" t="s">
        <v>192</v>
      </c>
      <c r="AA56" s="3" t="s">
        <v>192</v>
      </c>
      <c r="AB56" s="3" t="s">
        <v>192</v>
      </c>
      <c r="AC56" s="3" t="s">
        <v>192</v>
      </c>
      <c r="AD56" s="3" t="s">
        <v>192</v>
      </c>
      <c r="AE56" s="3" t="s">
        <v>192</v>
      </c>
      <c r="AF56" s="3" t="s">
        <v>192</v>
      </c>
      <c r="AG56" s="3" t="s">
        <v>192</v>
      </c>
      <c r="AH56" s="3" t="s">
        <v>192</v>
      </c>
      <c r="AI56" s="3" t="s">
        <v>192</v>
      </c>
      <c r="AJ56" s="3" t="s">
        <v>192</v>
      </c>
      <c r="AK56" s="3" t="s">
        <v>192</v>
      </c>
      <c r="AL56" s="3" t="s">
        <v>192</v>
      </c>
      <c r="AM56" s="3" t="s">
        <v>192</v>
      </c>
      <c r="AN56" s="3" t="s">
        <v>192</v>
      </c>
      <c r="AO56" s="3" t="s">
        <v>192</v>
      </c>
      <c r="AP56" s="3" t="s">
        <v>192</v>
      </c>
      <c r="AQ56" s="3" t="s">
        <v>192</v>
      </c>
      <c r="AR56" s="3" t="s">
        <v>192</v>
      </c>
      <c r="AS56" s="3" t="s">
        <v>192</v>
      </c>
      <c r="AT56" s="3" t="s">
        <v>192</v>
      </c>
      <c r="AU56" s="3" t="s">
        <v>192</v>
      </c>
      <c r="AV56" s="3" t="s">
        <v>192</v>
      </c>
      <c r="AW56" s="3" t="s">
        <v>192</v>
      </c>
      <c r="AX56" s="3" t="s">
        <v>192</v>
      </c>
      <c r="AY56" s="3" t="s">
        <v>192</v>
      </c>
      <c r="AZ56" s="3" t="s">
        <v>192</v>
      </c>
      <c r="BA56" s="3" t="s">
        <v>192</v>
      </c>
      <c r="BB56" s="3" t="s">
        <v>192</v>
      </c>
      <c r="BC56" s="3" t="s">
        <v>192</v>
      </c>
      <c r="BD56" s="3" t="s">
        <v>192</v>
      </c>
      <c r="BE56" s="3" t="s">
        <v>192</v>
      </c>
      <c r="BF56" s="3" t="s">
        <v>192</v>
      </c>
      <c r="BG56" s="3" t="s">
        <v>192</v>
      </c>
      <c r="BH56" s="3" t="s">
        <v>192</v>
      </c>
      <c r="BI56" s="3" t="s">
        <v>192</v>
      </c>
      <c r="BJ56" s="3" t="s">
        <v>192</v>
      </c>
      <c r="BK56" s="3" t="s">
        <v>192</v>
      </c>
      <c r="BL56" s="3" t="s">
        <v>192</v>
      </c>
      <c r="BM56" s="3" t="s">
        <v>192</v>
      </c>
      <c r="BN56" s="3" t="s">
        <v>192</v>
      </c>
      <c r="BO56" s="3" t="s">
        <v>192</v>
      </c>
      <c r="BP56" s="3" t="s">
        <v>192</v>
      </c>
      <c r="BQ56" s="3" t="s">
        <v>192</v>
      </c>
      <c r="BR56" s="3" t="s">
        <v>192</v>
      </c>
      <c r="BS56" s="3" t="s">
        <v>192</v>
      </c>
      <c r="BT56" s="3" t="s">
        <v>192</v>
      </c>
      <c r="BU56" s="3" t="s">
        <v>192</v>
      </c>
      <c r="BV56" s="3" t="s">
        <v>192</v>
      </c>
      <c r="BW56" s="3" t="s">
        <v>192</v>
      </c>
      <c r="BX56" s="3" t="s">
        <v>192</v>
      </c>
      <c r="BY56" s="3" t="s">
        <v>192</v>
      </c>
      <c r="BZ56" s="3" t="s">
        <v>192</v>
      </c>
      <c r="CA56" s="3" t="s">
        <v>192</v>
      </c>
      <c r="CB56" s="3" t="s">
        <v>192</v>
      </c>
      <c r="CC56" s="3" t="s">
        <v>192</v>
      </c>
      <c r="CD56" s="3" t="s">
        <v>192</v>
      </c>
      <c r="CE56" s="3" t="s">
        <v>192</v>
      </c>
      <c r="CF56" s="3" t="s">
        <v>192</v>
      </c>
      <c r="CG56" s="3">
        <v>2</v>
      </c>
      <c r="CH56" s="3" t="s">
        <v>192</v>
      </c>
      <c r="CI56" s="3" t="s">
        <v>192</v>
      </c>
      <c r="CJ56" s="3" t="s">
        <v>192</v>
      </c>
      <c r="CK56" s="3" t="s">
        <v>192</v>
      </c>
      <c r="CL56" s="3" t="s">
        <v>192</v>
      </c>
      <c r="CM56" s="3" t="s">
        <v>192</v>
      </c>
      <c r="CN56" s="3" t="s">
        <v>192</v>
      </c>
      <c r="CO56" s="3" t="s">
        <v>192</v>
      </c>
      <c r="CP56" s="3" t="s">
        <v>192</v>
      </c>
      <c r="CQ56" s="3" t="s">
        <v>192</v>
      </c>
      <c r="CR56" s="3" t="s">
        <v>192</v>
      </c>
      <c r="CS56" s="3" t="s">
        <v>192</v>
      </c>
      <c r="CT56" s="1">
        <f>SUM(Table7[[#This Row],[Acyl_amino_acids]:[T3PKS]])</f>
        <v>4</v>
      </c>
      <c r="CU56" s="3" t="s">
        <v>192</v>
      </c>
      <c r="CW56" s="1" t="str">
        <f>Table7[[#This Row],[NRPS]]</f>
        <v>-</v>
      </c>
      <c r="CX56" s="1">
        <f>SUM(CP56,CR56,CS56,Table7[[#This Row],[T1PKS, T3PKS]])</f>
        <v>0</v>
      </c>
      <c r="CY56" s="1">
        <f t="shared" si="0"/>
        <v>0</v>
      </c>
      <c r="CZ56" s="1">
        <f>Table7[[#This Row],[Terpene]]</f>
        <v>2</v>
      </c>
      <c r="DA56" s="1">
        <f>SUM(Table7[[#This Row],[Thiopeptide]],BH56,BF56,BE56,BC56,AZ56,AX56,AW56,AJ56,AH56,N56,L56,J56,H56,I56,K56,R56,Q56,Table7[[#This Row],[Cyanobactin, LAP]])</f>
        <v>0</v>
      </c>
      <c r="DB56" s="1">
        <f>SUM(CO56,CN56,CL56,CK56,CJ56,CI56,CH56,CF56,CE56,CD56,CB56,CA56,BZ56,BY56,BX56,BW56,BV56,BT56,BR56,BQ56,BP56,BO56,BM56,BK56,BJ56,BI56,BG56,BD56,BB56,BA56,AY56,AV56,AU56,AT56,AS56,AR56,AQ56,AP56,AO56,AN56,AM56,AL56,AK56,AG56,AF56,AE56,AD56,AC56,AB56,AA56,Z56,Y56,X56,W56,V56,U56,T56,S56,P56,O56,M56,Table7[[#This Row],[Acyl_amino_acids]],E56,F56,G56,)</f>
        <v>2</v>
      </c>
    </row>
    <row r="57" spans="1:106" x14ac:dyDescent="0.25">
      <c r="A57" s="9" t="s">
        <v>697</v>
      </c>
      <c r="B57" s="1" t="s">
        <v>435</v>
      </c>
      <c r="C57" s="1" t="s">
        <v>263</v>
      </c>
      <c r="D57" s="1" t="s">
        <v>192</v>
      </c>
      <c r="E57" s="1" t="s">
        <v>192</v>
      </c>
      <c r="F57" s="1" t="s">
        <v>192</v>
      </c>
      <c r="G57" s="1" t="s">
        <v>192</v>
      </c>
      <c r="H57" s="1">
        <v>3</v>
      </c>
      <c r="I57" s="1" t="s">
        <v>192</v>
      </c>
      <c r="J57" s="1" t="s">
        <v>192</v>
      </c>
      <c r="K57" s="1" t="s">
        <v>192</v>
      </c>
      <c r="L57" s="1" t="s">
        <v>192</v>
      </c>
      <c r="M57" s="1" t="s">
        <v>192</v>
      </c>
      <c r="N57" s="1" t="s">
        <v>192</v>
      </c>
      <c r="O57" s="1" t="s">
        <v>192</v>
      </c>
      <c r="P57" s="1" t="s">
        <v>192</v>
      </c>
      <c r="Q57" s="1" t="s">
        <v>192</v>
      </c>
      <c r="R57" s="1" t="s">
        <v>192</v>
      </c>
      <c r="S57" s="1" t="s">
        <v>192</v>
      </c>
      <c r="T57" s="1" t="s">
        <v>192</v>
      </c>
      <c r="U57" s="1" t="s">
        <v>192</v>
      </c>
      <c r="V57" s="1" t="s">
        <v>192</v>
      </c>
      <c r="W57" s="1" t="s">
        <v>192</v>
      </c>
      <c r="X57" s="1" t="s">
        <v>192</v>
      </c>
      <c r="Y57" s="1" t="s">
        <v>192</v>
      </c>
      <c r="Z57" s="1" t="s">
        <v>192</v>
      </c>
      <c r="AA57" s="1" t="s">
        <v>192</v>
      </c>
      <c r="AB57" s="1" t="s">
        <v>192</v>
      </c>
      <c r="AC57" s="1" t="s">
        <v>192</v>
      </c>
      <c r="AD57" s="1" t="s">
        <v>192</v>
      </c>
      <c r="AE57" s="1" t="s">
        <v>192</v>
      </c>
      <c r="AF57" s="1" t="s">
        <v>192</v>
      </c>
      <c r="AG57" s="1" t="s">
        <v>192</v>
      </c>
      <c r="AH57" s="1" t="s">
        <v>192</v>
      </c>
      <c r="AI57" s="1" t="s">
        <v>192</v>
      </c>
      <c r="AJ57" s="1" t="s">
        <v>192</v>
      </c>
      <c r="AK57" s="1" t="s">
        <v>192</v>
      </c>
      <c r="AL57" s="1" t="s">
        <v>192</v>
      </c>
      <c r="AM57" s="1" t="s">
        <v>192</v>
      </c>
      <c r="AN57" s="1" t="s">
        <v>192</v>
      </c>
      <c r="AO57" s="1" t="s">
        <v>192</v>
      </c>
      <c r="AP57" s="1" t="s">
        <v>192</v>
      </c>
      <c r="AQ57" s="1" t="s">
        <v>192</v>
      </c>
      <c r="AR57" s="1" t="s">
        <v>192</v>
      </c>
      <c r="AS57" s="1" t="s">
        <v>192</v>
      </c>
      <c r="AT57" s="1" t="s">
        <v>192</v>
      </c>
      <c r="AU57" s="1" t="s">
        <v>192</v>
      </c>
      <c r="AV57" s="1" t="s">
        <v>192</v>
      </c>
      <c r="AW57" s="1" t="s">
        <v>192</v>
      </c>
      <c r="AX57" s="1" t="s">
        <v>192</v>
      </c>
      <c r="AY57" s="1" t="s">
        <v>192</v>
      </c>
      <c r="AZ57" s="1" t="s">
        <v>192</v>
      </c>
      <c r="BA57" s="1" t="s">
        <v>192</v>
      </c>
      <c r="BB57" s="1" t="s">
        <v>192</v>
      </c>
      <c r="BC57" s="1" t="s">
        <v>192</v>
      </c>
      <c r="BD57" s="1" t="s">
        <v>192</v>
      </c>
      <c r="BE57" s="1" t="s">
        <v>192</v>
      </c>
      <c r="BF57" s="1" t="s">
        <v>192</v>
      </c>
      <c r="BG57" s="1" t="s">
        <v>192</v>
      </c>
      <c r="BH57" s="1" t="s">
        <v>192</v>
      </c>
      <c r="BI57" s="1" t="s">
        <v>192</v>
      </c>
      <c r="BJ57" s="1" t="s">
        <v>192</v>
      </c>
      <c r="BK57" s="1" t="s">
        <v>192</v>
      </c>
      <c r="BL57" s="1">
        <v>2</v>
      </c>
      <c r="BM57" s="1" t="s">
        <v>192</v>
      </c>
      <c r="BN57" s="1" t="s">
        <v>192</v>
      </c>
      <c r="BO57" s="1" t="s">
        <v>192</v>
      </c>
      <c r="BP57" s="1" t="s">
        <v>192</v>
      </c>
      <c r="BQ57" s="1">
        <v>1</v>
      </c>
      <c r="BR57" s="1" t="s">
        <v>192</v>
      </c>
      <c r="BS57" s="1" t="s">
        <v>192</v>
      </c>
      <c r="BT57" s="1" t="s">
        <v>192</v>
      </c>
      <c r="BU57" s="1" t="s">
        <v>192</v>
      </c>
      <c r="BV57" s="1" t="s">
        <v>192</v>
      </c>
      <c r="BW57" s="1" t="s">
        <v>192</v>
      </c>
      <c r="BX57" s="1" t="s">
        <v>192</v>
      </c>
      <c r="BY57" s="1" t="s">
        <v>192</v>
      </c>
      <c r="BZ57" s="1" t="s">
        <v>192</v>
      </c>
      <c r="CA57" s="1" t="s">
        <v>192</v>
      </c>
      <c r="CB57" s="1" t="s">
        <v>192</v>
      </c>
      <c r="CC57" s="1" t="s">
        <v>192</v>
      </c>
      <c r="CD57" s="1" t="s">
        <v>192</v>
      </c>
      <c r="CE57" s="1" t="s">
        <v>192</v>
      </c>
      <c r="CF57" s="1" t="s">
        <v>192</v>
      </c>
      <c r="CG57" s="1">
        <v>2</v>
      </c>
      <c r="CH57" s="1" t="s">
        <v>192</v>
      </c>
      <c r="CI57" s="1" t="s">
        <v>192</v>
      </c>
      <c r="CJ57" s="1" t="s">
        <v>192</v>
      </c>
      <c r="CK57" s="1" t="s">
        <v>192</v>
      </c>
      <c r="CL57" s="1" t="s">
        <v>192</v>
      </c>
      <c r="CM57" s="1" t="s">
        <v>192</v>
      </c>
      <c r="CN57" s="1" t="s">
        <v>192</v>
      </c>
      <c r="CO57" s="1" t="s">
        <v>192</v>
      </c>
      <c r="CP57" s="1" t="s">
        <v>192</v>
      </c>
      <c r="CQ57" s="1">
        <v>1</v>
      </c>
      <c r="CR57" s="1" t="s">
        <v>192</v>
      </c>
      <c r="CS57" s="1" t="s">
        <v>192</v>
      </c>
      <c r="CT57" s="1">
        <f>SUM(Table7[[#This Row],[Acyl_amino_acids]:[T3PKS]])</f>
        <v>9</v>
      </c>
      <c r="CU57" s="1" t="s">
        <v>192</v>
      </c>
      <c r="CW57" s="1">
        <f>Table7[[#This Row],[NRPS]]</f>
        <v>2</v>
      </c>
      <c r="CX57" s="1">
        <f>SUM(CP57,CR57,CS57,Table7[[#This Row],[T1PKS, T3PKS]])</f>
        <v>1</v>
      </c>
      <c r="CY57" s="1">
        <f t="shared" si="0"/>
        <v>0</v>
      </c>
      <c r="CZ57" s="1">
        <f>Table7[[#This Row],[Terpene]]</f>
        <v>2</v>
      </c>
      <c r="DA57" s="1">
        <f>SUM(Table7[[#This Row],[Thiopeptide]],BH57,BF57,BE57,BC57,AZ57,AX57,AW57,AJ57,AH57,N57,L57,J57,H57,I57,K57,R57,Q57,Table7[[#This Row],[Cyanobactin, LAP]])</f>
        <v>3</v>
      </c>
      <c r="DB57" s="1">
        <f>SUM(CO57,CN57,CL57,CK57,CJ57,CI57,CH57,CF57,CE57,CD57,CB57,CA57,BZ57,BY57,BX57,BW57,BV57,BT57,BR57,BQ57,BP57,BO57,BM57,BK57,BJ57,BI57,BG57,BD57,BB57,BA57,AY57,AV57,AU57,AT57,AS57,AR57,AQ57,AP57,AO57,AN57,AM57,AL57,AK57,AG57,AF57,AE57,AD57,AC57,AB57,AA57,Z57,Y57,X57,W57,V57,U57,T57,S57,P57,O57,M57,Table7[[#This Row],[Acyl_amino_acids]],E57,F57,G57,)</f>
        <v>1</v>
      </c>
    </row>
    <row r="58" spans="1:106" x14ac:dyDescent="0.25">
      <c r="A58" s="9" t="s">
        <v>633</v>
      </c>
      <c r="B58" s="1" t="s">
        <v>435</v>
      </c>
      <c r="C58" s="1" t="s">
        <v>266</v>
      </c>
      <c r="D58" s="1" t="s">
        <v>192</v>
      </c>
      <c r="E58" s="1" t="s">
        <v>192</v>
      </c>
      <c r="F58" s="1" t="s">
        <v>192</v>
      </c>
      <c r="G58" s="1" t="s">
        <v>192</v>
      </c>
      <c r="H58" s="1" t="s">
        <v>192</v>
      </c>
      <c r="I58" s="1" t="s">
        <v>192</v>
      </c>
      <c r="J58" s="1" t="s">
        <v>192</v>
      </c>
      <c r="K58" s="1" t="s">
        <v>192</v>
      </c>
      <c r="L58" s="1" t="s">
        <v>192</v>
      </c>
      <c r="M58" s="1" t="s">
        <v>192</v>
      </c>
      <c r="N58" s="1" t="s">
        <v>192</v>
      </c>
      <c r="O58" s="1" t="s">
        <v>192</v>
      </c>
      <c r="P58" s="1" t="s">
        <v>192</v>
      </c>
      <c r="Q58" s="1" t="s">
        <v>192</v>
      </c>
      <c r="R58" s="1" t="s">
        <v>192</v>
      </c>
      <c r="S58" s="1" t="s">
        <v>192</v>
      </c>
      <c r="T58" s="1" t="s">
        <v>192</v>
      </c>
      <c r="U58" s="1" t="s">
        <v>192</v>
      </c>
      <c r="V58" s="1" t="s">
        <v>192</v>
      </c>
      <c r="W58" s="1" t="s">
        <v>192</v>
      </c>
      <c r="X58" s="1" t="s">
        <v>192</v>
      </c>
      <c r="Y58" s="1" t="s">
        <v>192</v>
      </c>
      <c r="Z58" s="1" t="s">
        <v>192</v>
      </c>
      <c r="AA58" s="1" t="s">
        <v>192</v>
      </c>
      <c r="AB58" s="1" t="s">
        <v>192</v>
      </c>
      <c r="AC58" s="1" t="s">
        <v>192</v>
      </c>
      <c r="AD58" s="1" t="s">
        <v>192</v>
      </c>
      <c r="AE58" s="1" t="s">
        <v>192</v>
      </c>
      <c r="AF58" s="1" t="s">
        <v>192</v>
      </c>
      <c r="AG58" s="1" t="s">
        <v>192</v>
      </c>
      <c r="AH58" s="1" t="s">
        <v>192</v>
      </c>
      <c r="AI58" s="1" t="s">
        <v>192</v>
      </c>
      <c r="AJ58" s="1" t="s">
        <v>192</v>
      </c>
      <c r="AK58" s="1" t="s">
        <v>192</v>
      </c>
      <c r="AL58" s="1" t="s">
        <v>192</v>
      </c>
      <c r="AM58" s="1" t="s">
        <v>192</v>
      </c>
      <c r="AN58" s="1" t="s">
        <v>192</v>
      </c>
      <c r="AO58" s="1" t="s">
        <v>192</v>
      </c>
      <c r="AP58" s="1" t="s">
        <v>192</v>
      </c>
      <c r="AQ58" s="1" t="s">
        <v>192</v>
      </c>
      <c r="AR58" s="1" t="s">
        <v>192</v>
      </c>
      <c r="AS58" s="1">
        <v>1</v>
      </c>
      <c r="AT58" s="1" t="s">
        <v>192</v>
      </c>
      <c r="AU58" s="1" t="s">
        <v>192</v>
      </c>
      <c r="AV58" s="1" t="s">
        <v>192</v>
      </c>
      <c r="AW58" s="1" t="s">
        <v>192</v>
      </c>
      <c r="AX58" s="1" t="s">
        <v>192</v>
      </c>
      <c r="AY58" s="1" t="s">
        <v>192</v>
      </c>
      <c r="AZ58" s="1" t="s">
        <v>192</v>
      </c>
      <c r="BA58" s="1" t="s">
        <v>192</v>
      </c>
      <c r="BB58" s="1" t="s">
        <v>192</v>
      </c>
      <c r="BC58" s="1" t="s">
        <v>192</v>
      </c>
      <c r="BD58" s="1" t="s">
        <v>192</v>
      </c>
      <c r="BE58" s="1" t="s">
        <v>192</v>
      </c>
      <c r="BF58" s="1" t="s">
        <v>192</v>
      </c>
      <c r="BG58" s="1" t="s">
        <v>192</v>
      </c>
      <c r="BH58" s="1">
        <v>1</v>
      </c>
      <c r="BI58" s="1" t="s">
        <v>192</v>
      </c>
      <c r="BJ58" s="1" t="s">
        <v>192</v>
      </c>
      <c r="BK58" s="1" t="s">
        <v>192</v>
      </c>
      <c r="BL58" s="1" t="s">
        <v>192</v>
      </c>
      <c r="BM58" s="1" t="s">
        <v>192</v>
      </c>
      <c r="BN58" s="1" t="s">
        <v>192</v>
      </c>
      <c r="BO58" s="1" t="s">
        <v>192</v>
      </c>
      <c r="BP58" s="1" t="s">
        <v>192</v>
      </c>
      <c r="BQ58" s="1" t="s">
        <v>192</v>
      </c>
      <c r="BR58" s="1" t="s">
        <v>192</v>
      </c>
      <c r="BS58" s="1">
        <v>1</v>
      </c>
      <c r="BT58" s="1" t="s">
        <v>192</v>
      </c>
      <c r="BU58" s="1" t="s">
        <v>192</v>
      </c>
      <c r="BV58" s="1" t="s">
        <v>192</v>
      </c>
      <c r="BW58" s="1" t="s">
        <v>192</v>
      </c>
      <c r="BX58" s="1" t="s">
        <v>192</v>
      </c>
      <c r="BY58" s="1" t="s">
        <v>192</v>
      </c>
      <c r="BZ58" s="1" t="s">
        <v>192</v>
      </c>
      <c r="CA58" s="1" t="s">
        <v>192</v>
      </c>
      <c r="CB58" s="1" t="s">
        <v>192</v>
      </c>
      <c r="CC58" s="1" t="s">
        <v>192</v>
      </c>
      <c r="CD58" s="1" t="s">
        <v>192</v>
      </c>
      <c r="CE58" s="1" t="s">
        <v>192</v>
      </c>
      <c r="CF58" s="1" t="s">
        <v>192</v>
      </c>
      <c r="CG58" s="1">
        <v>3</v>
      </c>
      <c r="CH58" s="1" t="s">
        <v>192</v>
      </c>
      <c r="CI58" s="1" t="s">
        <v>192</v>
      </c>
      <c r="CJ58" s="1" t="s">
        <v>192</v>
      </c>
      <c r="CK58" s="1" t="s">
        <v>192</v>
      </c>
      <c r="CL58" s="1" t="s">
        <v>192</v>
      </c>
      <c r="CM58" s="1" t="s">
        <v>192</v>
      </c>
      <c r="CN58" s="1" t="s">
        <v>192</v>
      </c>
      <c r="CO58" s="1" t="s">
        <v>192</v>
      </c>
      <c r="CP58" s="1">
        <v>1</v>
      </c>
      <c r="CQ58" s="1" t="s">
        <v>192</v>
      </c>
      <c r="CR58" s="1" t="s">
        <v>192</v>
      </c>
      <c r="CS58" s="1" t="s">
        <v>192</v>
      </c>
      <c r="CT58" s="1">
        <f>SUM(Table7[[#This Row],[Acyl_amino_acids]:[T3PKS]])</f>
        <v>7</v>
      </c>
      <c r="CU58" s="1" t="s">
        <v>192</v>
      </c>
      <c r="CW58" s="1" t="str">
        <f>Table7[[#This Row],[NRPS]]</f>
        <v>-</v>
      </c>
      <c r="CX58" s="1">
        <f>SUM(CP58,CR58,CS58,Table7[[#This Row],[T1PKS, T3PKS]])</f>
        <v>1</v>
      </c>
      <c r="CY58" s="1">
        <f t="shared" si="0"/>
        <v>1</v>
      </c>
      <c r="CZ58" s="1">
        <f>Table7[[#This Row],[Terpene]]</f>
        <v>3</v>
      </c>
      <c r="DA58" s="1">
        <f>SUM(Table7[[#This Row],[Thiopeptide]],BH58,BF58,BE58,BC58,AZ58,AX58,AW58,AJ58,AH58,N58,L58,J58,H58,I58,K58,R58,Q58,Table7[[#This Row],[Cyanobactin, LAP]])</f>
        <v>1</v>
      </c>
      <c r="DB58" s="1">
        <f>SUM(CO58,CN58,CL58,CK58,CJ58,CI58,CH58,CF58,CE58,CD58,CB58,CA58,BZ58,BY58,BX58,BW58,BV58,BT58,BR58,BQ58,BP58,BO58,BM58,BK58,BJ58,BI58,BG58,BD58,BB58,BA58,AY58,AV58,AU58,AT58,AS58,AR58,AQ58,AP58,AO58,AN58,AM58,AL58,AK58,AG58,AF58,AE58,AD58,AC58,AB58,AA58,Z58,Y58,X58,W58,V58,U58,T58,S58,P58,O58,M58,Table7[[#This Row],[Acyl_amino_acids]],E58,F58,G58,)</f>
        <v>1</v>
      </c>
    </row>
    <row r="59" spans="1:106" x14ac:dyDescent="0.25">
      <c r="A59" s="9" t="s">
        <v>767</v>
      </c>
      <c r="B59" s="1" t="s">
        <v>435</v>
      </c>
      <c r="C59" s="1" t="s">
        <v>557</v>
      </c>
      <c r="D59" s="3" t="s">
        <v>192</v>
      </c>
      <c r="E59" s="3" t="s">
        <v>192</v>
      </c>
      <c r="F59" s="3" t="s">
        <v>192</v>
      </c>
      <c r="G59" s="3" t="s">
        <v>192</v>
      </c>
      <c r="H59" s="3">
        <v>1</v>
      </c>
      <c r="I59" s="3" t="s">
        <v>192</v>
      </c>
      <c r="J59" s="3" t="s">
        <v>192</v>
      </c>
      <c r="K59" s="3" t="s">
        <v>192</v>
      </c>
      <c r="L59" s="3" t="s">
        <v>192</v>
      </c>
      <c r="M59" s="3" t="s">
        <v>192</v>
      </c>
      <c r="N59" s="3" t="s">
        <v>192</v>
      </c>
      <c r="O59" s="3" t="s">
        <v>192</v>
      </c>
      <c r="P59" s="3" t="s">
        <v>192</v>
      </c>
      <c r="Q59" s="3" t="s">
        <v>192</v>
      </c>
      <c r="R59" s="3" t="s">
        <v>192</v>
      </c>
      <c r="S59" s="3" t="s">
        <v>192</v>
      </c>
      <c r="T59" s="3" t="s">
        <v>192</v>
      </c>
      <c r="U59" s="3" t="s">
        <v>192</v>
      </c>
      <c r="V59" s="3" t="s">
        <v>192</v>
      </c>
      <c r="W59" s="3" t="s">
        <v>192</v>
      </c>
      <c r="X59" s="3" t="s">
        <v>192</v>
      </c>
      <c r="Y59" s="3">
        <v>1</v>
      </c>
      <c r="Z59" s="3" t="s">
        <v>192</v>
      </c>
      <c r="AA59" s="3" t="s">
        <v>192</v>
      </c>
      <c r="AB59" s="3" t="s">
        <v>192</v>
      </c>
      <c r="AC59" s="3" t="s">
        <v>192</v>
      </c>
      <c r="AD59" s="3" t="s">
        <v>192</v>
      </c>
      <c r="AE59" s="3" t="s">
        <v>192</v>
      </c>
      <c r="AF59" s="3" t="s">
        <v>192</v>
      </c>
      <c r="AG59" s="3" t="s">
        <v>192</v>
      </c>
      <c r="AH59" s="3" t="s">
        <v>192</v>
      </c>
      <c r="AI59" s="3" t="s">
        <v>192</v>
      </c>
      <c r="AJ59" s="3" t="s">
        <v>192</v>
      </c>
      <c r="AK59" s="3" t="s">
        <v>192</v>
      </c>
      <c r="AL59" s="3" t="s">
        <v>192</v>
      </c>
      <c r="AM59" s="3" t="s">
        <v>192</v>
      </c>
      <c r="AN59" s="3" t="s">
        <v>192</v>
      </c>
      <c r="AO59" s="3" t="s">
        <v>192</v>
      </c>
      <c r="AP59" s="3" t="s">
        <v>192</v>
      </c>
      <c r="AQ59" s="3" t="s">
        <v>192</v>
      </c>
      <c r="AR59" s="3" t="s">
        <v>192</v>
      </c>
      <c r="AS59" s="3" t="s">
        <v>192</v>
      </c>
      <c r="AT59" s="3" t="s">
        <v>192</v>
      </c>
      <c r="AU59" s="3" t="s">
        <v>192</v>
      </c>
      <c r="AV59" s="3" t="s">
        <v>192</v>
      </c>
      <c r="AW59" s="3" t="s">
        <v>192</v>
      </c>
      <c r="AX59" s="3" t="s">
        <v>192</v>
      </c>
      <c r="AY59" s="3" t="s">
        <v>192</v>
      </c>
      <c r="AZ59" s="3" t="s">
        <v>192</v>
      </c>
      <c r="BA59" s="3" t="s">
        <v>192</v>
      </c>
      <c r="BB59" s="3" t="s">
        <v>192</v>
      </c>
      <c r="BC59" s="3" t="s">
        <v>192</v>
      </c>
      <c r="BD59" s="3" t="s">
        <v>192</v>
      </c>
      <c r="BE59" s="3" t="s">
        <v>192</v>
      </c>
      <c r="BF59" s="3" t="s">
        <v>192</v>
      </c>
      <c r="BG59" s="3" t="s">
        <v>192</v>
      </c>
      <c r="BH59" s="3" t="s">
        <v>192</v>
      </c>
      <c r="BI59" s="3" t="s">
        <v>192</v>
      </c>
      <c r="BJ59" s="3" t="s">
        <v>192</v>
      </c>
      <c r="BK59" s="3" t="s">
        <v>192</v>
      </c>
      <c r="BL59" s="3">
        <v>2</v>
      </c>
      <c r="BM59" s="3" t="s">
        <v>192</v>
      </c>
      <c r="BN59" s="3" t="s">
        <v>192</v>
      </c>
      <c r="BO59" s="3" t="s">
        <v>192</v>
      </c>
      <c r="BP59" s="3" t="s">
        <v>192</v>
      </c>
      <c r="BQ59" s="3" t="s">
        <v>192</v>
      </c>
      <c r="BR59" s="3" t="s">
        <v>192</v>
      </c>
      <c r="BS59" s="3">
        <v>2</v>
      </c>
      <c r="BT59" s="3" t="s">
        <v>192</v>
      </c>
      <c r="BU59" s="3" t="s">
        <v>192</v>
      </c>
      <c r="BV59" s="3" t="s">
        <v>192</v>
      </c>
      <c r="BW59" s="3" t="s">
        <v>192</v>
      </c>
      <c r="BX59" s="3" t="s">
        <v>192</v>
      </c>
      <c r="BY59" s="3" t="s">
        <v>192</v>
      </c>
      <c r="BZ59" s="3" t="s">
        <v>192</v>
      </c>
      <c r="CA59" s="3" t="s">
        <v>192</v>
      </c>
      <c r="CB59" s="3" t="s">
        <v>192</v>
      </c>
      <c r="CC59" s="3" t="s">
        <v>192</v>
      </c>
      <c r="CD59" s="3" t="s">
        <v>192</v>
      </c>
      <c r="CE59" s="3" t="s">
        <v>192</v>
      </c>
      <c r="CF59" s="3" t="s">
        <v>192</v>
      </c>
      <c r="CG59" s="3">
        <v>3</v>
      </c>
      <c r="CH59" s="3" t="s">
        <v>192</v>
      </c>
      <c r="CI59" s="3" t="s">
        <v>192</v>
      </c>
      <c r="CJ59" s="3" t="s">
        <v>192</v>
      </c>
      <c r="CK59" s="3" t="s">
        <v>192</v>
      </c>
      <c r="CL59" s="3" t="s">
        <v>192</v>
      </c>
      <c r="CM59" s="3" t="s">
        <v>192</v>
      </c>
      <c r="CN59" s="3" t="s">
        <v>192</v>
      </c>
      <c r="CO59" s="3" t="s">
        <v>192</v>
      </c>
      <c r="CP59" s="3" t="s">
        <v>192</v>
      </c>
      <c r="CQ59" s="3" t="s">
        <v>192</v>
      </c>
      <c r="CR59" s="3" t="s">
        <v>192</v>
      </c>
      <c r="CS59" s="3" t="s">
        <v>192</v>
      </c>
      <c r="CT59" s="1">
        <f>SUM(Table7[[#This Row],[Acyl_amino_acids]:[T3PKS]])</f>
        <v>9</v>
      </c>
      <c r="CU59" s="3" t="s">
        <v>192</v>
      </c>
      <c r="CW59" s="1">
        <f>Table7[[#This Row],[NRPS]]</f>
        <v>2</v>
      </c>
      <c r="CX59" s="1">
        <f>SUM(CP59,CR59,CS59,Table7[[#This Row],[T1PKS, T3PKS]])</f>
        <v>0</v>
      </c>
      <c r="CY59" s="1">
        <f t="shared" si="0"/>
        <v>2</v>
      </c>
      <c r="CZ59" s="1">
        <f>Table7[[#This Row],[Terpene]]</f>
        <v>3</v>
      </c>
      <c r="DA59" s="1">
        <f>SUM(Table7[[#This Row],[Thiopeptide]],BH59,BF59,BE59,BC59,AZ59,AX59,AW59,AJ59,AH59,N59,L59,J59,H59,I59,K59,R59,Q59,Table7[[#This Row],[Cyanobactin, LAP]])</f>
        <v>1</v>
      </c>
      <c r="DB59" s="1">
        <f>SUM(CO59,CN59,CL59,CK59,CJ59,CI59,CH59,CF59,CE59,CD59,CB59,CA59,BZ59,BY59,BX59,BW59,BV59,BT59,BR59,BQ59,BP59,BO59,BM59,BK59,BJ59,BI59,BG59,BD59,BB59,BA59,AY59,AV59,AU59,AT59,AS59,AR59,AQ59,AP59,AO59,AN59,AM59,AL59,AK59,AG59,AF59,AE59,AD59,AC59,AB59,AA59,Z59,Y59,X59,W59,V59,U59,T59,S59,P59,O59,M59,Table7[[#This Row],[Acyl_amino_acids]],E59,F59,G59,)</f>
        <v>1</v>
      </c>
    </row>
    <row r="60" spans="1:106" x14ac:dyDescent="0.25">
      <c r="A60" s="9" t="s">
        <v>724</v>
      </c>
      <c r="B60" s="1" t="s">
        <v>435</v>
      </c>
      <c r="C60" s="1" t="s">
        <v>288</v>
      </c>
      <c r="D60" s="1" t="s">
        <v>192</v>
      </c>
      <c r="E60" s="3" t="s">
        <v>192</v>
      </c>
      <c r="F60" s="3" t="s">
        <v>192</v>
      </c>
      <c r="G60" s="3" t="s">
        <v>192</v>
      </c>
      <c r="H60" s="3">
        <v>1</v>
      </c>
      <c r="I60" s="3" t="s">
        <v>192</v>
      </c>
      <c r="J60" s="3" t="s">
        <v>192</v>
      </c>
      <c r="K60" s="3" t="s">
        <v>192</v>
      </c>
      <c r="L60" s="3">
        <v>1</v>
      </c>
      <c r="M60" s="3" t="s">
        <v>192</v>
      </c>
      <c r="N60" s="3" t="s">
        <v>192</v>
      </c>
      <c r="O60" s="3" t="s">
        <v>192</v>
      </c>
      <c r="P60" s="3" t="s">
        <v>192</v>
      </c>
      <c r="Q60" s="3" t="s">
        <v>192</v>
      </c>
      <c r="R60" s="3" t="s">
        <v>192</v>
      </c>
      <c r="S60" s="3" t="s">
        <v>192</v>
      </c>
      <c r="T60" s="3" t="s">
        <v>192</v>
      </c>
      <c r="U60" s="3" t="s">
        <v>192</v>
      </c>
      <c r="V60" s="3" t="s">
        <v>192</v>
      </c>
      <c r="W60" s="3" t="s">
        <v>192</v>
      </c>
      <c r="X60" s="3" t="s">
        <v>192</v>
      </c>
      <c r="Y60" s="3" t="s">
        <v>192</v>
      </c>
      <c r="Z60" s="3" t="s">
        <v>192</v>
      </c>
      <c r="AA60" s="3" t="s">
        <v>192</v>
      </c>
      <c r="AB60" s="3" t="s">
        <v>192</v>
      </c>
      <c r="AC60" s="3" t="s">
        <v>192</v>
      </c>
      <c r="AD60" s="3" t="s">
        <v>192</v>
      </c>
      <c r="AE60" s="3" t="s">
        <v>192</v>
      </c>
      <c r="AF60" s="3" t="s">
        <v>192</v>
      </c>
      <c r="AG60" s="3" t="s">
        <v>192</v>
      </c>
      <c r="AH60" s="3" t="s">
        <v>192</v>
      </c>
      <c r="AI60" s="3" t="s">
        <v>192</v>
      </c>
      <c r="AJ60" s="3" t="s">
        <v>192</v>
      </c>
      <c r="AK60" s="3" t="s">
        <v>192</v>
      </c>
      <c r="AL60" s="3" t="s">
        <v>192</v>
      </c>
      <c r="AM60" s="3" t="s">
        <v>192</v>
      </c>
      <c r="AN60" s="3" t="s">
        <v>192</v>
      </c>
      <c r="AO60" s="3" t="s">
        <v>192</v>
      </c>
      <c r="AP60" s="3" t="s">
        <v>192</v>
      </c>
      <c r="AQ60" s="3" t="s">
        <v>192</v>
      </c>
      <c r="AR60" s="3" t="s">
        <v>192</v>
      </c>
      <c r="AS60" s="3" t="s">
        <v>192</v>
      </c>
      <c r="AT60" s="3" t="s">
        <v>192</v>
      </c>
      <c r="AU60" s="3" t="s">
        <v>192</v>
      </c>
      <c r="AV60" s="3" t="s">
        <v>192</v>
      </c>
      <c r="AW60" s="3" t="s">
        <v>192</v>
      </c>
      <c r="AX60" s="3" t="s">
        <v>192</v>
      </c>
      <c r="AY60" s="3" t="s">
        <v>192</v>
      </c>
      <c r="AZ60" s="3" t="s">
        <v>192</v>
      </c>
      <c r="BA60" s="3" t="s">
        <v>192</v>
      </c>
      <c r="BB60" s="3" t="s">
        <v>192</v>
      </c>
      <c r="BC60" s="3" t="s">
        <v>192</v>
      </c>
      <c r="BD60" s="3" t="s">
        <v>192</v>
      </c>
      <c r="BE60" s="3" t="s">
        <v>192</v>
      </c>
      <c r="BF60" s="3" t="s">
        <v>192</v>
      </c>
      <c r="BG60" s="3" t="s">
        <v>192</v>
      </c>
      <c r="BH60" s="3" t="s">
        <v>192</v>
      </c>
      <c r="BI60" s="3" t="s">
        <v>192</v>
      </c>
      <c r="BJ60" s="3" t="s">
        <v>192</v>
      </c>
      <c r="BK60" s="3" t="s">
        <v>192</v>
      </c>
      <c r="BL60" s="3" t="s">
        <v>192</v>
      </c>
      <c r="BM60" s="3" t="s">
        <v>192</v>
      </c>
      <c r="BN60" s="3" t="s">
        <v>192</v>
      </c>
      <c r="BO60" s="3" t="s">
        <v>192</v>
      </c>
      <c r="BP60" s="3" t="s">
        <v>192</v>
      </c>
      <c r="BQ60" s="3" t="s">
        <v>192</v>
      </c>
      <c r="BR60" s="3" t="s">
        <v>192</v>
      </c>
      <c r="BS60" s="3" t="s">
        <v>192</v>
      </c>
      <c r="BT60" s="3" t="s">
        <v>192</v>
      </c>
      <c r="BU60" s="3" t="s">
        <v>192</v>
      </c>
      <c r="BV60" s="3" t="s">
        <v>192</v>
      </c>
      <c r="BW60" s="3" t="s">
        <v>192</v>
      </c>
      <c r="BX60" s="3" t="s">
        <v>192</v>
      </c>
      <c r="BY60" s="3" t="s">
        <v>192</v>
      </c>
      <c r="BZ60" s="3" t="s">
        <v>192</v>
      </c>
      <c r="CA60" s="3" t="s">
        <v>192</v>
      </c>
      <c r="CB60" s="3" t="s">
        <v>192</v>
      </c>
      <c r="CC60" s="3" t="s">
        <v>192</v>
      </c>
      <c r="CD60" s="3" t="s">
        <v>192</v>
      </c>
      <c r="CE60" s="3" t="s">
        <v>192</v>
      </c>
      <c r="CF60" s="3" t="s">
        <v>192</v>
      </c>
      <c r="CG60" s="3">
        <v>1</v>
      </c>
      <c r="CH60" s="3" t="s">
        <v>192</v>
      </c>
      <c r="CI60" s="3" t="s">
        <v>192</v>
      </c>
      <c r="CJ60" s="3" t="s">
        <v>192</v>
      </c>
      <c r="CK60" s="3" t="s">
        <v>192</v>
      </c>
      <c r="CL60" s="3" t="s">
        <v>192</v>
      </c>
      <c r="CM60" s="3" t="s">
        <v>192</v>
      </c>
      <c r="CN60" s="3" t="s">
        <v>192</v>
      </c>
      <c r="CO60" s="3" t="s">
        <v>192</v>
      </c>
      <c r="CP60" s="3" t="s">
        <v>192</v>
      </c>
      <c r="CQ60" s="3" t="s">
        <v>192</v>
      </c>
      <c r="CR60" s="3" t="s">
        <v>192</v>
      </c>
      <c r="CS60" s="3" t="s">
        <v>192</v>
      </c>
      <c r="CT60" s="1">
        <f>SUM(Table7[[#This Row],[Acyl_amino_acids]:[T3PKS]])</f>
        <v>3</v>
      </c>
      <c r="CU60" s="3" t="s">
        <v>192</v>
      </c>
      <c r="CW60" s="1" t="str">
        <f>Table7[[#This Row],[NRPS]]</f>
        <v>-</v>
      </c>
      <c r="CX60" s="1">
        <f>SUM(CP60,CR60,CS60,Table7[[#This Row],[T1PKS, T3PKS]])</f>
        <v>0</v>
      </c>
      <c r="CY60" s="1">
        <f t="shared" si="0"/>
        <v>0</v>
      </c>
      <c r="CZ60" s="1">
        <f>Table7[[#This Row],[Terpene]]</f>
        <v>1</v>
      </c>
      <c r="DA60" s="1">
        <f>SUM(Table7[[#This Row],[Thiopeptide]],BH60,BF60,BE60,BC60,AZ60,AX60,AW60,AJ60,AH60,N60,L60,J60,H60,I60,K60,R60,Q60,Table7[[#This Row],[Cyanobactin, LAP]])</f>
        <v>2</v>
      </c>
      <c r="DB60" s="1">
        <f>SUM(CO60,CN60,CL60,CK60,CJ60,CI60,CH60,CF60,CE60,CD60,CB60,CA60,BZ60,BY60,BX60,BW60,BV60,BT60,BR60,BQ60,BP60,BO60,BM60,BK60,BJ60,BI60,BG60,BD60,BB60,BA60,AY60,AV60,AU60,AT60,AS60,AR60,AQ60,AP60,AO60,AN60,AM60,AL60,AK60,AG60,AF60,AE60,AD60,AC60,AB60,AA60,Z60,Y60,X60,W60,V60,U60,T60,S60,P60,O60,M60,Table7[[#This Row],[Acyl_amino_acids]],E60,F60,G60,)</f>
        <v>0</v>
      </c>
    </row>
    <row r="61" spans="1:106" x14ac:dyDescent="0.25">
      <c r="A61" s="9" t="s">
        <v>740</v>
      </c>
      <c r="B61" s="1" t="s">
        <v>435</v>
      </c>
      <c r="C61" s="1" t="s">
        <v>289</v>
      </c>
      <c r="D61" s="1" t="s">
        <v>192</v>
      </c>
      <c r="E61" s="3" t="s">
        <v>192</v>
      </c>
      <c r="F61" s="3" t="s">
        <v>192</v>
      </c>
      <c r="G61" s="3" t="s">
        <v>192</v>
      </c>
      <c r="H61" s="3">
        <v>2</v>
      </c>
      <c r="I61" s="3" t="s">
        <v>192</v>
      </c>
      <c r="J61" s="3" t="s">
        <v>192</v>
      </c>
      <c r="K61" s="3" t="s">
        <v>192</v>
      </c>
      <c r="L61" s="3" t="s">
        <v>192</v>
      </c>
      <c r="M61" s="3" t="s">
        <v>192</v>
      </c>
      <c r="N61" s="3" t="s">
        <v>192</v>
      </c>
      <c r="O61" s="3" t="s">
        <v>192</v>
      </c>
      <c r="P61" s="3" t="s">
        <v>192</v>
      </c>
      <c r="Q61" s="3" t="s">
        <v>192</v>
      </c>
      <c r="R61" s="3" t="s">
        <v>192</v>
      </c>
      <c r="S61" s="3">
        <v>1</v>
      </c>
      <c r="T61" s="3" t="s">
        <v>192</v>
      </c>
      <c r="U61" s="3" t="s">
        <v>192</v>
      </c>
      <c r="V61" s="1" t="s">
        <v>192</v>
      </c>
      <c r="W61" s="1" t="s">
        <v>192</v>
      </c>
      <c r="X61" s="1" t="s">
        <v>192</v>
      </c>
      <c r="Y61" s="3" t="s">
        <v>192</v>
      </c>
      <c r="Z61" s="3" t="s">
        <v>192</v>
      </c>
      <c r="AA61" s="3" t="s">
        <v>192</v>
      </c>
      <c r="AB61" s="3" t="s">
        <v>192</v>
      </c>
      <c r="AC61" s="3" t="s">
        <v>192</v>
      </c>
      <c r="AD61" s="3" t="s">
        <v>192</v>
      </c>
      <c r="AE61" s="1" t="s">
        <v>192</v>
      </c>
      <c r="AF61" s="1" t="s">
        <v>192</v>
      </c>
      <c r="AG61" s="1" t="s">
        <v>192</v>
      </c>
      <c r="AH61" s="3" t="s">
        <v>192</v>
      </c>
      <c r="AI61" s="3" t="s">
        <v>192</v>
      </c>
      <c r="AJ61" s="3" t="s">
        <v>192</v>
      </c>
      <c r="AK61" s="3" t="s">
        <v>192</v>
      </c>
      <c r="AL61" s="3" t="s">
        <v>192</v>
      </c>
      <c r="AM61" s="3" t="s">
        <v>192</v>
      </c>
      <c r="AN61" s="3" t="s">
        <v>192</v>
      </c>
      <c r="AO61" s="1" t="s">
        <v>192</v>
      </c>
      <c r="AP61" s="1" t="s">
        <v>192</v>
      </c>
      <c r="AQ61" s="3" t="s">
        <v>192</v>
      </c>
      <c r="AR61" s="1" t="s">
        <v>192</v>
      </c>
      <c r="AS61" s="1" t="s">
        <v>192</v>
      </c>
      <c r="AT61" s="1" t="s">
        <v>192</v>
      </c>
      <c r="AU61" s="1" t="s">
        <v>192</v>
      </c>
      <c r="AV61" s="1" t="s">
        <v>192</v>
      </c>
      <c r="AW61" s="3" t="s">
        <v>192</v>
      </c>
      <c r="AX61" s="3" t="s">
        <v>192</v>
      </c>
      <c r="AY61" s="3" t="s">
        <v>192</v>
      </c>
      <c r="AZ61" s="3" t="s">
        <v>192</v>
      </c>
      <c r="BA61" s="3" t="s">
        <v>192</v>
      </c>
      <c r="BB61" s="3" t="s">
        <v>192</v>
      </c>
      <c r="BC61" s="3" t="s">
        <v>192</v>
      </c>
      <c r="BD61" s="3" t="s">
        <v>192</v>
      </c>
      <c r="BE61" s="3" t="s">
        <v>192</v>
      </c>
      <c r="BF61" s="3">
        <v>1</v>
      </c>
      <c r="BG61" s="3" t="s">
        <v>192</v>
      </c>
      <c r="BH61" s="3" t="s">
        <v>192</v>
      </c>
      <c r="BI61" s="3" t="s">
        <v>192</v>
      </c>
      <c r="BJ61" s="3" t="s">
        <v>192</v>
      </c>
      <c r="BK61" s="3" t="s">
        <v>192</v>
      </c>
      <c r="BL61" s="3">
        <v>4</v>
      </c>
      <c r="BM61" s="3" t="s">
        <v>192</v>
      </c>
      <c r="BN61" s="3" t="s">
        <v>192</v>
      </c>
      <c r="BO61" s="3" t="s">
        <v>192</v>
      </c>
      <c r="BP61" s="3" t="s">
        <v>192</v>
      </c>
      <c r="BQ61" s="3" t="s">
        <v>192</v>
      </c>
      <c r="BR61" s="3" t="s">
        <v>192</v>
      </c>
      <c r="BS61" s="3" t="s">
        <v>192</v>
      </c>
      <c r="BT61" s="3" t="s">
        <v>192</v>
      </c>
      <c r="BU61" s="3" t="s">
        <v>192</v>
      </c>
      <c r="BV61" s="3" t="s">
        <v>192</v>
      </c>
      <c r="BW61" s="3" t="s">
        <v>192</v>
      </c>
      <c r="BX61" s="3" t="s">
        <v>192</v>
      </c>
      <c r="BY61" s="3" t="s">
        <v>192</v>
      </c>
      <c r="BZ61" s="3" t="s">
        <v>192</v>
      </c>
      <c r="CA61" s="3" t="s">
        <v>192</v>
      </c>
      <c r="CB61" s="3" t="s">
        <v>192</v>
      </c>
      <c r="CC61" s="3" t="s">
        <v>192</v>
      </c>
      <c r="CD61" s="3" t="s">
        <v>192</v>
      </c>
      <c r="CE61" s="3" t="s">
        <v>192</v>
      </c>
      <c r="CF61" s="3" t="s">
        <v>192</v>
      </c>
      <c r="CG61" s="1">
        <v>5</v>
      </c>
      <c r="CH61" s="1" t="s">
        <v>192</v>
      </c>
      <c r="CI61" s="1" t="s">
        <v>192</v>
      </c>
      <c r="CJ61" s="1" t="s">
        <v>192</v>
      </c>
      <c r="CK61" s="1" t="s">
        <v>192</v>
      </c>
      <c r="CL61" s="1" t="s">
        <v>192</v>
      </c>
      <c r="CM61" s="1" t="s">
        <v>192</v>
      </c>
      <c r="CN61" s="1" t="s">
        <v>192</v>
      </c>
      <c r="CO61" s="1" t="s">
        <v>192</v>
      </c>
      <c r="CP61" s="1" t="s">
        <v>192</v>
      </c>
      <c r="CQ61" s="1" t="s">
        <v>192</v>
      </c>
      <c r="CR61" s="1" t="s">
        <v>192</v>
      </c>
      <c r="CS61" s="1" t="s">
        <v>192</v>
      </c>
      <c r="CT61" s="1">
        <f>SUM(Table7[[#This Row],[Acyl_amino_acids]:[T3PKS]])</f>
        <v>13</v>
      </c>
      <c r="CU61" s="1" t="s">
        <v>192</v>
      </c>
      <c r="CW61" s="1">
        <f>Table7[[#This Row],[NRPS]]</f>
        <v>4</v>
      </c>
      <c r="CX61" s="1">
        <f>SUM(CP61,CR61,CS61,Table7[[#This Row],[T1PKS, T3PKS]])</f>
        <v>0</v>
      </c>
      <c r="CY61" s="1">
        <f t="shared" si="0"/>
        <v>0</v>
      </c>
      <c r="CZ61" s="1">
        <f>Table7[[#This Row],[Terpene]]</f>
        <v>5</v>
      </c>
      <c r="DA61" s="1">
        <f>SUM(Table7[[#This Row],[Thiopeptide]],BH61,BF61,BE61,BC61,AZ61,AX61,AW61,AJ61,AH61,N61,L61,J61,H61,I61,K61,R61,Q61,Table7[[#This Row],[Cyanobactin, LAP]])</f>
        <v>3</v>
      </c>
      <c r="DB61" s="1">
        <f>SUM(CO61,CN61,CL61,CK61,CJ61,CI61,CH61,CF61,CE61,CD61,CB61,CA61,BZ61,BY61,BX61,BW61,BV61,BT61,BR61,BQ61,BP61,BO61,BM61,BK61,BJ61,BI61,BG61,BD61,BB61,BA61,AY61,AV61,AU61,AT61,AS61,AR61,AQ61,AP61,AO61,AN61,AM61,AL61,AK61,AG61,AF61,AE61,AD61,AC61,AB61,AA61,Z61,Y61,X61,W61,V61,U61,T61,S61,P61,O61,M61,Table7[[#This Row],[Acyl_amino_acids]],E61,F61,G61,)</f>
        <v>1</v>
      </c>
    </row>
    <row r="62" spans="1:106" x14ac:dyDescent="0.25">
      <c r="A62" s="9" t="s">
        <v>642</v>
      </c>
      <c r="B62" s="1" t="s">
        <v>435</v>
      </c>
      <c r="C62" s="1" t="s">
        <v>291</v>
      </c>
      <c r="D62" s="1" t="s">
        <v>192</v>
      </c>
      <c r="E62" s="3" t="s">
        <v>192</v>
      </c>
      <c r="F62" s="3" t="s">
        <v>192</v>
      </c>
      <c r="G62" s="3" t="s">
        <v>192</v>
      </c>
      <c r="H62" s="3">
        <v>2</v>
      </c>
      <c r="I62" s="3" t="s">
        <v>192</v>
      </c>
      <c r="J62" s="3" t="s">
        <v>192</v>
      </c>
      <c r="K62" s="3" t="s">
        <v>192</v>
      </c>
      <c r="L62" s="3" t="s">
        <v>192</v>
      </c>
      <c r="M62" s="3" t="s">
        <v>192</v>
      </c>
      <c r="N62" s="3" t="s">
        <v>192</v>
      </c>
      <c r="O62" s="3" t="s">
        <v>192</v>
      </c>
      <c r="P62" s="3" t="s">
        <v>192</v>
      </c>
      <c r="Q62" s="3" t="s">
        <v>192</v>
      </c>
      <c r="R62" s="3" t="s">
        <v>192</v>
      </c>
      <c r="S62" s="3">
        <v>1</v>
      </c>
      <c r="T62" s="3" t="s">
        <v>192</v>
      </c>
      <c r="U62" s="3" t="s">
        <v>192</v>
      </c>
      <c r="V62" s="1" t="s">
        <v>192</v>
      </c>
      <c r="W62" s="1" t="s">
        <v>192</v>
      </c>
      <c r="X62" s="1" t="s">
        <v>192</v>
      </c>
      <c r="Y62" s="3" t="s">
        <v>192</v>
      </c>
      <c r="Z62" s="3" t="s">
        <v>192</v>
      </c>
      <c r="AA62" s="3" t="s">
        <v>192</v>
      </c>
      <c r="AB62" s="3" t="s">
        <v>192</v>
      </c>
      <c r="AC62" s="3" t="s">
        <v>192</v>
      </c>
      <c r="AD62" s="3" t="s">
        <v>192</v>
      </c>
      <c r="AE62" s="1" t="s">
        <v>192</v>
      </c>
      <c r="AF62" s="1" t="s">
        <v>192</v>
      </c>
      <c r="AG62" s="1" t="s">
        <v>192</v>
      </c>
      <c r="AH62" s="3" t="s">
        <v>192</v>
      </c>
      <c r="AI62" s="3" t="s">
        <v>192</v>
      </c>
      <c r="AJ62" s="3" t="s">
        <v>192</v>
      </c>
      <c r="AK62" s="3" t="s">
        <v>192</v>
      </c>
      <c r="AL62" s="3" t="s">
        <v>192</v>
      </c>
      <c r="AM62" s="3" t="s">
        <v>192</v>
      </c>
      <c r="AN62" s="3" t="s">
        <v>192</v>
      </c>
      <c r="AO62" s="1" t="s">
        <v>192</v>
      </c>
      <c r="AP62" s="1" t="s">
        <v>192</v>
      </c>
      <c r="AQ62" s="3" t="s">
        <v>192</v>
      </c>
      <c r="AR62" s="1" t="s">
        <v>192</v>
      </c>
      <c r="AS62" s="1" t="s">
        <v>192</v>
      </c>
      <c r="AT62" s="1" t="s">
        <v>192</v>
      </c>
      <c r="AU62" s="1" t="s">
        <v>192</v>
      </c>
      <c r="AV62" s="1" t="s">
        <v>192</v>
      </c>
      <c r="AW62" s="3" t="s">
        <v>192</v>
      </c>
      <c r="AX62" s="3" t="s">
        <v>192</v>
      </c>
      <c r="AY62" s="3" t="s">
        <v>192</v>
      </c>
      <c r="AZ62" s="3" t="s">
        <v>192</v>
      </c>
      <c r="BA62" s="3" t="s">
        <v>192</v>
      </c>
      <c r="BB62" s="3" t="s">
        <v>192</v>
      </c>
      <c r="BC62" s="3" t="s">
        <v>192</v>
      </c>
      <c r="BD62" s="3" t="s">
        <v>192</v>
      </c>
      <c r="BE62" s="3" t="s">
        <v>192</v>
      </c>
      <c r="BF62" s="3">
        <v>1</v>
      </c>
      <c r="BG62" s="3" t="s">
        <v>192</v>
      </c>
      <c r="BH62" s="3" t="s">
        <v>192</v>
      </c>
      <c r="BI62" s="3" t="s">
        <v>192</v>
      </c>
      <c r="BJ62" s="3" t="s">
        <v>192</v>
      </c>
      <c r="BK62" s="3" t="s">
        <v>192</v>
      </c>
      <c r="BL62" s="3">
        <v>4</v>
      </c>
      <c r="BM62" s="3" t="s">
        <v>192</v>
      </c>
      <c r="BN62" s="3" t="s">
        <v>192</v>
      </c>
      <c r="BO62" s="3" t="s">
        <v>192</v>
      </c>
      <c r="BP62" s="3" t="s">
        <v>192</v>
      </c>
      <c r="BQ62" s="3" t="s">
        <v>192</v>
      </c>
      <c r="BR62" s="3" t="s">
        <v>192</v>
      </c>
      <c r="BS62" s="3" t="s">
        <v>192</v>
      </c>
      <c r="BT62" s="3" t="s">
        <v>192</v>
      </c>
      <c r="BU62" s="3" t="s">
        <v>192</v>
      </c>
      <c r="BV62" s="3" t="s">
        <v>192</v>
      </c>
      <c r="BW62" s="3" t="s">
        <v>192</v>
      </c>
      <c r="BX62" s="3" t="s">
        <v>192</v>
      </c>
      <c r="BY62" s="3" t="s">
        <v>192</v>
      </c>
      <c r="BZ62" s="3" t="s">
        <v>192</v>
      </c>
      <c r="CA62" s="3" t="s">
        <v>192</v>
      </c>
      <c r="CB62" s="3" t="s">
        <v>192</v>
      </c>
      <c r="CC62" s="3" t="s">
        <v>192</v>
      </c>
      <c r="CD62" s="3" t="s">
        <v>192</v>
      </c>
      <c r="CE62" s="3" t="s">
        <v>192</v>
      </c>
      <c r="CF62" s="3" t="s">
        <v>192</v>
      </c>
      <c r="CG62" s="1">
        <v>5</v>
      </c>
      <c r="CH62" s="1" t="s">
        <v>192</v>
      </c>
      <c r="CI62" s="1" t="s">
        <v>192</v>
      </c>
      <c r="CJ62" s="1" t="s">
        <v>192</v>
      </c>
      <c r="CK62" s="1" t="s">
        <v>192</v>
      </c>
      <c r="CL62" s="1" t="s">
        <v>192</v>
      </c>
      <c r="CM62" s="1" t="s">
        <v>192</v>
      </c>
      <c r="CN62" s="1" t="s">
        <v>192</v>
      </c>
      <c r="CO62" s="1" t="s">
        <v>192</v>
      </c>
      <c r="CP62" s="1" t="s">
        <v>192</v>
      </c>
      <c r="CQ62" s="1" t="s">
        <v>192</v>
      </c>
      <c r="CR62" s="1" t="s">
        <v>192</v>
      </c>
      <c r="CS62" s="1" t="s">
        <v>192</v>
      </c>
      <c r="CT62" s="1">
        <f>SUM(Table7[[#This Row],[Acyl_amino_acids]:[T3PKS]])</f>
        <v>13</v>
      </c>
      <c r="CU62" s="1" t="s">
        <v>192</v>
      </c>
      <c r="CW62" s="1">
        <f>Table7[[#This Row],[NRPS]]</f>
        <v>4</v>
      </c>
      <c r="CX62" s="1">
        <f>SUM(CP62,CR62,CS62,Table7[[#This Row],[T1PKS, T3PKS]])</f>
        <v>0</v>
      </c>
      <c r="CY62" s="1">
        <f t="shared" si="0"/>
        <v>0</v>
      </c>
      <c r="CZ62" s="1">
        <f>Table7[[#This Row],[Terpene]]</f>
        <v>5</v>
      </c>
      <c r="DA62" s="1">
        <f>SUM(Table7[[#This Row],[Thiopeptide]],BH62,BF62,BE62,BC62,AZ62,AX62,AW62,AJ62,AH62,N62,L62,J62,H62,I62,K62,R62,Q62,Table7[[#This Row],[Cyanobactin, LAP]])</f>
        <v>3</v>
      </c>
      <c r="DB62" s="1">
        <f>SUM(CO62,CN62,CL62,CK62,CJ62,CI62,CH62,CF62,CE62,CD62,CB62,CA62,BZ62,BY62,BX62,BW62,BV62,BT62,BR62,BQ62,BP62,BO62,BM62,BK62,BJ62,BI62,BG62,BD62,BB62,BA62,AY62,AV62,AU62,AT62,AS62,AR62,AQ62,AP62,AO62,AN62,AM62,AL62,AK62,AG62,AF62,AE62,AD62,AC62,AB62,AA62,Z62,Y62,X62,W62,V62,U62,T62,S62,P62,O62,M62,Table7[[#This Row],[Acyl_amino_acids]],E62,F62,G62,)</f>
        <v>1</v>
      </c>
    </row>
    <row r="63" spans="1:106" x14ac:dyDescent="0.25">
      <c r="A63" s="9" t="s">
        <v>655</v>
      </c>
      <c r="B63" s="1" t="s">
        <v>435</v>
      </c>
      <c r="C63" s="1" t="s">
        <v>292</v>
      </c>
      <c r="D63" s="3" t="s">
        <v>192</v>
      </c>
      <c r="E63" s="3" t="s">
        <v>192</v>
      </c>
      <c r="F63" s="3" t="s">
        <v>192</v>
      </c>
      <c r="G63" s="3" t="s">
        <v>192</v>
      </c>
      <c r="H63" s="3">
        <v>2</v>
      </c>
      <c r="I63" s="3" t="s">
        <v>192</v>
      </c>
      <c r="J63" s="3" t="s">
        <v>192</v>
      </c>
      <c r="K63" s="3" t="s">
        <v>192</v>
      </c>
      <c r="L63" s="3" t="s">
        <v>192</v>
      </c>
      <c r="M63" s="3" t="s">
        <v>192</v>
      </c>
      <c r="N63" s="3" t="s">
        <v>192</v>
      </c>
      <c r="O63" s="3" t="s">
        <v>192</v>
      </c>
      <c r="P63" s="3" t="s">
        <v>192</v>
      </c>
      <c r="Q63" s="3" t="s">
        <v>192</v>
      </c>
      <c r="R63" s="3" t="s">
        <v>192</v>
      </c>
      <c r="S63" s="3">
        <v>1</v>
      </c>
      <c r="T63" s="3" t="s">
        <v>192</v>
      </c>
      <c r="U63" s="3" t="s">
        <v>192</v>
      </c>
      <c r="V63" s="3" t="s">
        <v>192</v>
      </c>
      <c r="W63" s="3" t="s">
        <v>192</v>
      </c>
      <c r="X63" s="3" t="s">
        <v>192</v>
      </c>
      <c r="Y63" s="3" t="s">
        <v>192</v>
      </c>
      <c r="Z63" s="3" t="s">
        <v>192</v>
      </c>
      <c r="AA63" s="3" t="s">
        <v>192</v>
      </c>
      <c r="AB63" s="3" t="s">
        <v>192</v>
      </c>
      <c r="AC63" s="3" t="s">
        <v>192</v>
      </c>
      <c r="AD63" s="3" t="s">
        <v>192</v>
      </c>
      <c r="AE63" s="3" t="s">
        <v>192</v>
      </c>
      <c r="AF63" s="3" t="s">
        <v>192</v>
      </c>
      <c r="AG63" s="3" t="s">
        <v>192</v>
      </c>
      <c r="AH63" s="3" t="s">
        <v>192</v>
      </c>
      <c r="AI63" s="3" t="s">
        <v>192</v>
      </c>
      <c r="AJ63" s="3" t="s">
        <v>192</v>
      </c>
      <c r="AK63" s="3" t="s">
        <v>192</v>
      </c>
      <c r="AL63" s="3" t="s">
        <v>192</v>
      </c>
      <c r="AM63" s="3" t="s">
        <v>192</v>
      </c>
      <c r="AN63" s="3" t="s">
        <v>192</v>
      </c>
      <c r="AO63" s="3" t="s">
        <v>192</v>
      </c>
      <c r="AP63" s="3" t="s">
        <v>192</v>
      </c>
      <c r="AQ63" s="3" t="s">
        <v>192</v>
      </c>
      <c r="AR63" s="3" t="s">
        <v>192</v>
      </c>
      <c r="AS63" s="3" t="s">
        <v>192</v>
      </c>
      <c r="AT63" s="3" t="s">
        <v>192</v>
      </c>
      <c r="AU63" s="3" t="s">
        <v>192</v>
      </c>
      <c r="AV63" s="3" t="s">
        <v>192</v>
      </c>
      <c r="AW63" s="3" t="s">
        <v>192</v>
      </c>
      <c r="AX63" s="3" t="s">
        <v>192</v>
      </c>
      <c r="AY63" s="3" t="s">
        <v>192</v>
      </c>
      <c r="AZ63" s="3" t="s">
        <v>192</v>
      </c>
      <c r="BA63" s="3" t="s">
        <v>192</v>
      </c>
      <c r="BB63" s="3" t="s">
        <v>192</v>
      </c>
      <c r="BC63" s="3" t="s">
        <v>192</v>
      </c>
      <c r="BD63" s="3" t="s">
        <v>192</v>
      </c>
      <c r="BE63" s="3" t="s">
        <v>192</v>
      </c>
      <c r="BF63" s="3">
        <v>1</v>
      </c>
      <c r="BG63" s="3" t="s">
        <v>192</v>
      </c>
      <c r="BH63" s="3" t="s">
        <v>192</v>
      </c>
      <c r="BI63" s="3" t="s">
        <v>192</v>
      </c>
      <c r="BJ63" s="3" t="s">
        <v>192</v>
      </c>
      <c r="BK63" s="3" t="s">
        <v>192</v>
      </c>
      <c r="BL63" s="3">
        <v>4</v>
      </c>
      <c r="BM63" s="3" t="s">
        <v>192</v>
      </c>
      <c r="BN63" s="3" t="s">
        <v>192</v>
      </c>
      <c r="BO63" s="3" t="s">
        <v>192</v>
      </c>
      <c r="BP63" s="3" t="s">
        <v>192</v>
      </c>
      <c r="BQ63" s="3" t="s">
        <v>192</v>
      </c>
      <c r="BR63" s="3" t="s">
        <v>192</v>
      </c>
      <c r="BS63" s="3" t="s">
        <v>192</v>
      </c>
      <c r="BT63" s="3" t="s">
        <v>192</v>
      </c>
      <c r="BU63" s="3" t="s">
        <v>192</v>
      </c>
      <c r="BV63" s="3" t="s">
        <v>192</v>
      </c>
      <c r="BW63" s="3" t="s">
        <v>192</v>
      </c>
      <c r="BX63" s="3" t="s">
        <v>192</v>
      </c>
      <c r="BY63" s="3" t="s">
        <v>192</v>
      </c>
      <c r="BZ63" s="3" t="s">
        <v>192</v>
      </c>
      <c r="CA63" s="3" t="s">
        <v>192</v>
      </c>
      <c r="CB63" s="3" t="s">
        <v>192</v>
      </c>
      <c r="CC63" s="3" t="s">
        <v>192</v>
      </c>
      <c r="CD63" s="3" t="s">
        <v>192</v>
      </c>
      <c r="CE63" s="3" t="s">
        <v>192</v>
      </c>
      <c r="CF63" s="3" t="s">
        <v>192</v>
      </c>
      <c r="CG63" s="3">
        <v>5</v>
      </c>
      <c r="CH63" s="3" t="s">
        <v>192</v>
      </c>
      <c r="CI63" s="3" t="s">
        <v>192</v>
      </c>
      <c r="CJ63" s="3" t="s">
        <v>192</v>
      </c>
      <c r="CK63" s="3" t="s">
        <v>192</v>
      </c>
      <c r="CL63" s="3" t="s">
        <v>192</v>
      </c>
      <c r="CM63" s="3" t="s">
        <v>192</v>
      </c>
      <c r="CN63" s="3" t="s">
        <v>192</v>
      </c>
      <c r="CO63" s="3" t="s">
        <v>192</v>
      </c>
      <c r="CP63" s="3" t="s">
        <v>192</v>
      </c>
      <c r="CQ63" s="3" t="s">
        <v>192</v>
      </c>
      <c r="CR63" s="3" t="s">
        <v>192</v>
      </c>
      <c r="CS63" s="3" t="s">
        <v>192</v>
      </c>
      <c r="CT63" s="1">
        <f>SUM(Table7[[#This Row],[Acyl_amino_acids]:[T3PKS]])</f>
        <v>13</v>
      </c>
      <c r="CU63" s="3" t="s">
        <v>192</v>
      </c>
      <c r="CW63" s="1">
        <f>Table7[[#This Row],[NRPS]]</f>
        <v>4</v>
      </c>
      <c r="CX63" s="1">
        <f>SUM(CP63,CR63,CS63,Table7[[#This Row],[T1PKS, T3PKS]])</f>
        <v>0</v>
      </c>
      <c r="CY63" s="1">
        <f t="shared" si="0"/>
        <v>0</v>
      </c>
      <c r="CZ63" s="1">
        <f>Table7[[#This Row],[Terpene]]</f>
        <v>5</v>
      </c>
      <c r="DA63" s="1">
        <f>SUM(Table7[[#This Row],[Thiopeptide]],BH63,BF63,BE63,BC63,AZ63,AX63,AW63,AJ63,AH63,N63,L63,J63,H63,I63,K63,R63,Q63,Table7[[#This Row],[Cyanobactin, LAP]])</f>
        <v>3</v>
      </c>
      <c r="DB63" s="1">
        <f>SUM(CO63,CN63,CL63,CK63,CJ63,CI63,CH63,CF63,CE63,CD63,CB63,CA63,BZ63,BY63,BX63,BW63,BV63,BT63,BR63,BQ63,BP63,BO63,BM63,BK63,BJ63,BI63,BG63,BD63,BB63,BA63,AY63,AV63,AU63,AT63,AS63,AR63,AQ63,AP63,AO63,AN63,AM63,AL63,AK63,AG63,AF63,AE63,AD63,AC63,AB63,AA63,Z63,Y63,X63,W63,V63,U63,T63,S63,P63,O63,M63,Table7[[#This Row],[Acyl_amino_acids]],E63,F63,G63,)</f>
        <v>1</v>
      </c>
    </row>
    <row r="64" spans="1:106" x14ac:dyDescent="0.25">
      <c r="A64" s="9" t="s">
        <v>645</v>
      </c>
      <c r="B64" s="1" t="s">
        <v>435</v>
      </c>
      <c r="C64" s="1" t="s">
        <v>293</v>
      </c>
      <c r="D64" s="1" t="s">
        <v>192</v>
      </c>
      <c r="E64" s="3" t="s">
        <v>192</v>
      </c>
      <c r="F64" s="3" t="s">
        <v>192</v>
      </c>
      <c r="G64" s="3" t="s">
        <v>192</v>
      </c>
      <c r="H64" s="3">
        <v>2</v>
      </c>
      <c r="I64" s="3" t="s">
        <v>192</v>
      </c>
      <c r="J64" s="3" t="s">
        <v>192</v>
      </c>
      <c r="K64" s="3" t="s">
        <v>192</v>
      </c>
      <c r="L64" s="3" t="s">
        <v>192</v>
      </c>
      <c r="M64" s="3" t="s">
        <v>192</v>
      </c>
      <c r="N64" s="3" t="s">
        <v>192</v>
      </c>
      <c r="O64" s="3" t="s">
        <v>192</v>
      </c>
      <c r="P64" s="3" t="s">
        <v>192</v>
      </c>
      <c r="Q64" s="3" t="s">
        <v>192</v>
      </c>
      <c r="R64" s="3" t="s">
        <v>192</v>
      </c>
      <c r="S64" s="3" t="s">
        <v>192</v>
      </c>
      <c r="T64" s="3" t="s">
        <v>192</v>
      </c>
      <c r="U64" s="3" t="s">
        <v>192</v>
      </c>
      <c r="V64" s="3" t="s">
        <v>192</v>
      </c>
      <c r="W64" s="3" t="s">
        <v>192</v>
      </c>
      <c r="X64" s="3" t="s">
        <v>192</v>
      </c>
      <c r="Y64" s="3" t="s">
        <v>192</v>
      </c>
      <c r="Z64" s="3" t="s">
        <v>192</v>
      </c>
      <c r="AA64" s="3" t="s">
        <v>192</v>
      </c>
      <c r="AB64" s="3" t="s">
        <v>192</v>
      </c>
      <c r="AC64" s="3" t="s">
        <v>192</v>
      </c>
      <c r="AD64" s="3" t="s">
        <v>192</v>
      </c>
      <c r="AE64" s="3" t="s">
        <v>192</v>
      </c>
      <c r="AF64" s="3" t="s">
        <v>192</v>
      </c>
      <c r="AG64" s="3" t="s">
        <v>192</v>
      </c>
      <c r="AH64" s="3" t="s">
        <v>192</v>
      </c>
      <c r="AI64" s="3" t="s">
        <v>192</v>
      </c>
      <c r="AJ64" s="3" t="s">
        <v>192</v>
      </c>
      <c r="AK64" s="3" t="s">
        <v>192</v>
      </c>
      <c r="AL64" s="3" t="s">
        <v>192</v>
      </c>
      <c r="AM64" s="3" t="s">
        <v>192</v>
      </c>
      <c r="AN64" s="3" t="s">
        <v>192</v>
      </c>
      <c r="AO64" s="3" t="s">
        <v>192</v>
      </c>
      <c r="AP64" s="3" t="s">
        <v>192</v>
      </c>
      <c r="AQ64" s="3" t="s">
        <v>192</v>
      </c>
      <c r="AR64" s="3" t="s">
        <v>192</v>
      </c>
      <c r="AS64" s="3" t="s">
        <v>192</v>
      </c>
      <c r="AT64" s="3" t="s">
        <v>192</v>
      </c>
      <c r="AU64" s="3" t="s">
        <v>192</v>
      </c>
      <c r="AV64" s="3" t="s">
        <v>192</v>
      </c>
      <c r="AW64" s="3" t="s">
        <v>192</v>
      </c>
      <c r="AX64" s="3" t="s">
        <v>192</v>
      </c>
      <c r="AY64" s="3" t="s">
        <v>192</v>
      </c>
      <c r="AZ64" s="3" t="s">
        <v>192</v>
      </c>
      <c r="BA64" s="3" t="s">
        <v>192</v>
      </c>
      <c r="BB64" s="3" t="s">
        <v>192</v>
      </c>
      <c r="BC64" s="3" t="s">
        <v>192</v>
      </c>
      <c r="BD64" s="3" t="s">
        <v>192</v>
      </c>
      <c r="BE64" s="3" t="s">
        <v>192</v>
      </c>
      <c r="BF64" s="3" t="s">
        <v>192</v>
      </c>
      <c r="BG64" s="3" t="s">
        <v>192</v>
      </c>
      <c r="BH64" s="3" t="s">
        <v>192</v>
      </c>
      <c r="BI64" s="3" t="s">
        <v>192</v>
      </c>
      <c r="BJ64" s="3" t="s">
        <v>192</v>
      </c>
      <c r="BK64" s="3" t="s">
        <v>192</v>
      </c>
      <c r="BL64" s="3">
        <v>3</v>
      </c>
      <c r="BM64" s="3" t="s">
        <v>192</v>
      </c>
      <c r="BN64" s="3" t="s">
        <v>192</v>
      </c>
      <c r="BO64" s="3" t="s">
        <v>192</v>
      </c>
      <c r="BP64" s="3" t="s">
        <v>192</v>
      </c>
      <c r="BQ64" s="3" t="s">
        <v>192</v>
      </c>
      <c r="BR64" s="3" t="s">
        <v>192</v>
      </c>
      <c r="BS64" s="3" t="s">
        <v>192</v>
      </c>
      <c r="BT64" s="3" t="s">
        <v>192</v>
      </c>
      <c r="BU64" s="3" t="s">
        <v>192</v>
      </c>
      <c r="BV64" s="3" t="s">
        <v>192</v>
      </c>
      <c r="BW64" s="3" t="s">
        <v>192</v>
      </c>
      <c r="BX64" s="3" t="s">
        <v>192</v>
      </c>
      <c r="BY64" s="3" t="s">
        <v>192</v>
      </c>
      <c r="BZ64" s="3" t="s">
        <v>192</v>
      </c>
      <c r="CA64" s="3" t="s">
        <v>192</v>
      </c>
      <c r="CB64" s="3" t="s">
        <v>192</v>
      </c>
      <c r="CC64" s="3" t="s">
        <v>192</v>
      </c>
      <c r="CD64" s="3" t="s">
        <v>192</v>
      </c>
      <c r="CE64" s="3" t="s">
        <v>192</v>
      </c>
      <c r="CF64" s="3" t="s">
        <v>192</v>
      </c>
      <c r="CG64" s="3">
        <v>4</v>
      </c>
      <c r="CH64" s="3" t="s">
        <v>192</v>
      </c>
      <c r="CI64" s="3" t="s">
        <v>192</v>
      </c>
      <c r="CJ64" s="3" t="s">
        <v>192</v>
      </c>
      <c r="CK64" s="3" t="s">
        <v>192</v>
      </c>
      <c r="CL64" s="3" t="s">
        <v>192</v>
      </c>
      <c r="CM64" s="3" t="s">
        <v>192</v>
      </c>
      <c r="CN64" s="3" t="s">
        <v>192</v>
      </c>
      <c r="CO64" s="3" t="s">
        <v>192</v>
      </c>
      <c r="CP64" s="3" t="s">
        <v>192</v>
      </c>
      <c r="CQ64" s="3" t="s">
        <v>192</v>
      </c>
      <c r="CR64" s="3" t="s">
        <v>192</v>
      </c>
      <c r="CS64" s="3" t="s">
        <v>192</v>
      </c>
      <c r="CT64" s="1">
        <f>SUM(Table7[[#This Row],[Acyl_amino_acids]:[T3PKS]])</f>
        <v>9</v>
      </c>
      <c r="CU64" s="3" t="s">
        <v>192</v>
      </c>
      <c r="CW64" s="1">
        <f>Table7[[#This Row],[NRPS]]</f>
        <v>3</v>
      </c>
      <c r="CX64" s="1">
        <f>SUM(CP64,CR64,CS64,Table7[[#This Row],[T1PKS, T3PKS]])</f>
        <v>0</v>
      </c>
      <c r="CY64" s="1">
        <f t="shared" si="0"/>
        <v>0</v>
      </c>
      <c r="CZ64" s="1">
        <f>Table7[[#This Row],[Terpene]]</f>
        <v>4</v>
      </c>
      <c r="DA64" s="1">
        <f>SUM(Table7[[#This Row],[Thiopeptide]],BH64,BF64,BE64,BC64,AZ64,AX64,AW64,AJ64,AH64,N64,L64,J64,H64,I64,K64,R64,Q64,Table7[[#This Row],[Cyanobactin, LAP]])</f>
        <v>2</v>
      </c>
      <c r="DB64" s="1">
        <f>SUM(CO64,CN64,CL64,CK64,CJ64,CI64,CH64,CF64,CE64,CD64,CB64,CA64,BZ64,BY64,BX64,BW64,BV64,BT64,BR64,BQ64,BP64,BO64,BM64,BK64,BJ64,BI64,BG64,BD64,BB64,BA64,AY64,AV64,AU64,AT64,AS64,AR64,AQ64,AP64,AO64,AN64,AM64,AL64,AK64,AG64,AF64,AE64,AD64,AC64,AB64,AA64,Z64,Y64,X64,W64,V64,U64,T64,S64,P64,O64,M64,Table7[[#This Row],[Acyl_amino_acids]],E64,F64,G64,)</f>
        <v>0</v>
      </c>
    </row>
    <row r="65" spans="1:106" x14ac:dyDescent="0.25">
      <c r="A65" s="9" t="s">
        <v>751</v>
      </c>
      <c r="B65" s="1" t="s">
        <v>435</v>
      </c>
      <c r="C65" s="1" t="s">
        <v>294</v>
      </c>
      <c r="D65" s="1" t="s">
        <v>192</v>
      </c>
      <c r="E65" s="3" t="s">
        <v>192</v>
      </c>
      <c r="F65" s="3" t="s">
        <v>192</v>
      </c>
      <c r="G65" s="3" t="s">
        <v>192</v>
      </c>
      <c r="H65" s="3">
        <v>2</v>
      </c>
      <c r="I65" s="3" t="s">
        <v>192</v>
      </c>
      <c r="J65" s="3" t="s">
        <v>192</v>
      </c>
      <c r="K65" s="3" t="s">
        <v>192</v>
      </c>
      <c r="L65" s="3" t="s">
        <v>192</v>
      </c>
      <c r="M65" s="3" t="s">
        <v>192</v>
      </c>
      <c r="N65" s="3" t="s">
        <v>192</v>
      </c>
      <c r="O65" s="3" t="s">
        <v>192</v>
      </c>
      <c r="P65" s="3" t="s">
        <v>192</v>
      </c>
      <c r="Q65" s="3" t="s">
        <v>192</v>
      </c>
      <c r="R65" s="3" t="s">
        <v>192</v>
      </c>
      <c r="S65" s="3" t="s">
        <v>192</v>
      </c>
      <c r="T65" s="3" t="s">
        <v>192</v>
      </c>
      <c r="U65" s="3" t="s">
        <v>192</v>
      </c>
      <c r="V65" s="3" t="s">
        <v>192</v>
      </c>
      <c r="W65" s="3" t="s">
        <v>192</v>
      </c>
      <c r="X65" s="3" t="s">
        <v>192</v>
      </c>
      <c r="Y65" s="3" t="s">
        <v>192</v>
      </c>
      <c r="Z65" s="3" t="s">
        <v>192</v>
      </c>
      <c r="AA65" s="3" t="s">
        <v>192</v>
      </c>
      <c r="AB65" s="3" t="s">
        <v>192</v>
      </c>
      <c r="AC65" s="3" t="s">
        <v>192</v>
      </c>
      <c r="AD65" s="3" t="s">
        <v>192</v>
      </c>
      <c r="AE65" s="3" t="s">
        <v>192</v>
      </c>
      <c r="AF65" s="3" t="s">
        <v>192</v>
      </c>
      <c r="AG65" s="3" t="s">
        <v>192</v>
      </c>
      <c r="AH65" s="3" t="s">
        <v>192</v>
      </c>
      <c r="AI65" s="3" t="s">
        <v>192</v>
      </c>
      <c r="AJ65" s="3" t="s">
        <v>192</v>
      </c>
      <c r="AK65" s="3" t="s">
        <v>192</v>
      </c>
      <c r="AL65" s="3" t="s">
        <v>192</v>
      </c>
      <c r="AM65" s="3" t="s">
        <v>192</v>
      </c>
      <c r="AN65" s="3" t="s">
        <v>192</v>
      </c>
      <c r="AO65" s="3" t="s">
        <v>192</v>
      </c>
      <c r="AP65" s="3" t="s">
        <v>192</v>
      </c>
      <c r="AQ65" s="3" t="s">
        <v>192</v>
      </c>
      <c r="AR65" s="3" t="s">
        <v>192</v>
      </c>
      <c r="AS65" s="3" t="s">
        <v>192</v>
      </c>
      <c r="AT65" s="3" t="s">
        <v>192</v>
      </c>
      <c r="AU65" s="3" t="s">
        <v>192</v>
      </c>
      <c r="AV65" s="3" t="s">
        <v>192</v>
      </c>
      <c r="AW65" s="3" t="s">
        <v>192</v>
      </c>
      <c r="AX65" s="3" t="s">
        <v>192</v>
      </c>
      <c r="AY65" s="3" t="s">
        <v>192</v>
      </c>
      <c r="AZ65" s="3" t="s">
        <v>192</v>
      </c>
      <c r="BA65" s="3" t="s">
        <v>192</v>
      </c>
      <c r="BB65" s="3" t="s">
        <v>192</v>
      </c>
      <c r="BC65" s="3" t="s">
        <v>192</v>
      </c>
      <c r="BD65" s="3" t="s">
        <v>192</v>
      </c>
      <c r="BE65" s="3" t="s">
        <v>192</v>
      </c>
      <c r="BF65" s="3" t="s">
        <v>192</v>
      </c>
      <c r="BG65" s="3" t="s">
        <v>192</v>
      </c>
      <c r="BH65" s="3" t="s">
        <v>192</v>
      </c>
      <c r="BI65" s="3" t="s">
        <v>192</v>
      </c>
      <c r="BJ65" s="3" t="s">
        <v>192</v>
      </c>
      <c r="BK65" s="3" t="s">
        <v>192</v>
      </c>
      <c r="BL65" s="3">
        <v>3</v>
      </c>
      <c r="BM65" s="3" t="s">
        <v>192</v>
      </c>
      <c r="BN65" s="3" t="s">
        <v>192</v>
      </c>
      <c r="BO65" s="3" t="s">
        <v>192</v>
      </c>
      <c r="BP65" s="3" t="s">
        <v>192</v>
      </c>
      <c r="BQ65" s="3" t="s">
        <v>192</v>
      </c>
      <c r="BR65" s="3" t="s">
        <v>192</v>
      </c>
      <c r="BS65" s="3" t="s">
        <v>192</v>
      </c>
      <c r="BT65" s="3" t="s">
        <v>192</v>
      </c>
      <c r="BU65" s="3" t="s">
        <v>192</v>
      </c>
      <c r="BV65" s="3" t="s">
        <v>192</v>
      </c>
      <c r="BW65" s="3" t="s">
        <v>192</v>
      </c>
      <c r="BX65" s="3" t="s">
        <v>192</v>
      </c>
      <c r="BY65" s="3" t="s">
        <v>192</v>
      </c>
      <c r="BZ65" s="3" t="s">
        <v>192</v>
      </c>
      <c r="CA65" s="3" t="s">
        <v>192</v>
      </c>
      <c r="CB65" s="3" t="s">
        <v>192</v>
      </c>
      <c r="CC65" s="3" t="s">
        <v>192</v>
      </c>
      <c r="CD65" s="3" t="s">
        <v>192</v>
      </c>
      <c r="CE65" s="3" t="s">
        <v>192</v>
      </c>
      <c r="CF65" s="3" t="s">
        <v>192</v>
      </c>
      <c r="CG65" s="3">
        <v>4</v>
      </c>
      <c r="CH65" s="3" t="s">
        <v>192</v>
      </c>
      <c r="CI65" s="3" t="s">
        <v>192</v>
      </c>
      <c r="CJ65" s="3" t="s">
        <v>192</v>
      </c>
      <c r="CK65" s="3" t="s">
        <v>192</v>
      </c>
      <c r="CL65" s="3" t="s">
        <v>192</v>
      </c>
      <c r="CM65" s="3" t="s">
        <v>192</v>
      </c>
      <c r="CN65" s="3" t="s">
        <v>192</v>
      </c>
      <c r="CO65" s="3" t="s">
        <v>192</v>
      </c>
      <c r="CP65" s="3" t="s">
        <v>192</v>
      </c>
      <c r="CQ65" s="3" t="s">
        <v>192</v>
      </c>
      <c r="CR65" s="3" t="s">
        <v>192</v>
      </c>
      <c r="CS65" s="3" t="s">
        <v>192</v>
      </c>
      <c r="CT65" s="1">
        <f>SUM(Table7[[#This Row],[Acyl_amino_acids]:[T3PKS]])</f>
        <v>9</v>
      </c>
      <c r="CU65" s="3" t="s">
        <v>192</v>
      </c>
      <c r="CW65" s="1">
        <f>Table7[[#This Row],[NRPS]]</f>
        <v>3</v>
      </c>
      <c r="CX65" s="1">
        <f>SUM(CP65,CR65,CS65,Table7[[#This Row],[T1PKS, T3PKS]])</f>
        <v>0</v>
      </c>
      <c r="CY65" s="1">
        <f t="shared" si="0"/>
        <v>0</v>
      </c>
      <c r="CZ65" s="1">
        <f>Table7[[#This Row],[Terpene]]</f>
        <v>4</v>
      </c>
      <c r="DA65" s="1">
        <f>SUM(Table7[[#This Row],[Thiopeptide]],BH65,BF65,BE65,BC65,AZ65,AX65,AW65,AJ65,AH65,N65,L65,J65,H65,I65,K65,R65,Q65,Table7[[#This Row],[Cyanobactin, LAP]])</f>
        <v>2</v>
      </c>
      <c r="DB65" s="1">
        <f>SUM(CO65,CN65,CL65,CK65,CJ65,CI65,CH65,CF65,CE65,CD65,CB65,CA65,BZ65,BY65,BX65,BW65,BV65,BT65,BR65,BQ65,BP65,BO65,BM65,BK65,BJ65,BI65,BG65,BD65,BB65,BA65,AY65,AV65,AU65,AT65,AS65,AR65,AQ65,AP65,AO65,AN65,AM65,AL65,AK65,AG65,AF65,AE65,AD65,AC65,AB65,AA65,Z65,Y65,X65,W65,V65,U65,T65,S65,P65,O65,M65,Table7[[#This Row],[Acyl_amino_acids]],E65,F65,G65,)</f>
        <v>0</v>
      </c>
    </row>
    <row r="66" spans="1:106" x14ac:dyDescent="0.25">
      <c r="A66" s="9" t="s">
        <v>711</v>
      </c>
      <c r="B66" s="1" t="s">
        <v>435</v>
      </c>
      <c r="C66" s="1" t="s">
        <v>295</v>
      </c>
      <c r="D66" s="1" t="s">
        <v>192</v>
      </c>
      <c r="E66" s="1" t="s">
        <v>192</v>
      </c>
      <c r="F66" s="3" t="s">
        <v>192</v>
      </c>
      <c r="G66" s="3" t="s">
        <v>192</v>
      </c>
      <c r="H66" s="3" t="s">
        <v>192</v>
      </c>
      <c r="I66" s="3" t="s">
        <v>192</v>
      </c>
      <c r="J66" s="3" t="s">
        <v>192</v>
      </c>
      <c r="K66" s="3" t="s">
        <v>192</v>
      </c>
      <c r="L66" s="3" t="s">
        <v>192</v>
      </c>
      <c r="M66" s="3" t="s">
        <v>192</v>
      </c>
      <c r="N66" s="3" t="s">
        <v>192</v>
      </c>
      <c r="O66" s="3" t="s">
        <v>192</v>
      </c>
      <c r="P66" s="3" t="s">
        <v>192</v>
      </c>
      <c r="Q66" s="3" t="s">
        <v>192</v>
      </c>
      <c r="R66" s="3" t="s">
        <v>192</v>
      </c>
      <c r="S66" s="3" t="s">
        <v>192</v>
      </c>
      <c r="T66" s="3" t="s">
        <v>192</v>
      </c>
      <c r="U66" s="3" t="s">
        <v>192</v>
      </c>
      <c r="V66" s="3" t="s">
        <v>192</v>
      </c>
      <c r="W66" s="3" t="s">
        <v>192</v>
      </c>
      <c r="X66" s="3" t="s">
        <v>192</v>
      </c>
      <c r="Y66" s="3" t="s">
        <v>192</v>
      </c>
      <c r="Z66" s="3" t="s">
        <v>192</v>
      </c>
      <c r="AA66" s="3" t="s">
        <v>192</v>
      </c>
      <c r="AB66" s="3" t="s">
        <v>192</v>
      </c>
      <c r="AC66" s="3" t="s">
        <v>192</v>
      </c>
      <c r="AD66" s="3" t="s">
        <v>192</v>
      </c>
      <c r="AE66" s="3" t="s">
        <v>192</v>
      </c>
      <c r="AF66" s="3" t="s">
        <v>192</v>
      </c>
      <c r="AG66" s="3" t="s">
        <v>192</v>
      </c>
      <c r="AH66" s="3">
        <v>1</v>
      </c>
      <c r="AI66" s="3" t="s">
        <v>192</v>
      </c>
      <c r="AJ66" s="3" t="s">
        <v>192</v>
      </c>
      <c r="AK66" s="3">
        <v>1</v>
      </c>
      <c r="AL66" s="3" t="s">
        <v>192</v>
      </c>
      <c r="AM66" s="3" t="s">
        <v>192</v>
      </c>
      <c r="AN66" s="3" t="s">
        <v>192</v>
      </c>
      <c r="AO66" s="3" t="s">
        <v>192</v>
      </c>
      <c r="AP66" s="3" t="s">
        <v>192</v>
      </c>
      <c r="AQ66" s="3" t="s">
        <v>192</v>
      </c>
      <c r="AR66" s="3" t="s">
        <v>192</v>
      </c>
      <c r="AS66" s="3" t="s">
        <v>192</v>
      </c>
      <c r="AT66" s="3" t="s">
        <v>192</v>
      </c>
      <c r="AU66" s="3" t="s">
        <v>192</v>
      </c>
      <c r="AV66" s="3" t="s">
        <v>192</v>
      </c>
      <c r="AW66" s="3" t="s">
        <v>192</v>
      </c>
      <c r="AX66" s="3" t="s">
        <v>192</v>
      </c>
      <c r="AY66" s="3" t="s">
        <v>192</v>
      </c>
      <c r="AZ66" s="3">
        <v>1</v>
      </c>
      <c r="BA66" s="3" t="s">
        <v>192</v>
      </c>
      <c r="BB66" s="3" t="s">
        <v>192</v>
      </c>
      <c r="BC66" s="3" t="s">
        <v>192</v>
      </c>
      <c r="BD66" s="3" t="s">
        <v>192</v>
      </c>
      <c r="BE66" s="3" t="s">
        <v>192</v>
      </c>
      <c r="BF66" s="3" t="s">
        <v>192</v>
      </c>
      <c r="BG66" s="3" t="s">
        <v>192</v>
      </c>
      <c r="BH66" s="3" t="s">
        <v>192</v>
      </c>
      <c r="BI66" s="3" t="s">
        <v>192</v>
      </c>
      <c r="BJ66" s="3" t="s">
        <v>192</v>
      </c>
      <c r="BK66" s="3" t="s">
        <v>192</v>
      </c>
      <c r="BL66" s="3">
        <v>1</v>
      </c>
      <c r="BM66" s="3" t="s">
        <v>192</v>
      </c>
      <c r="BN66" s="3" t="s">
        <v>192</v>
      </c>
      <c r="BO66" s="3" t="s">
        <v>192</v>
      </c>
      <c r="BP66" s="3" t="s">
        <v>192</v>
      </c>
      <c r="BQ66" s="3" t="s">
        <v>192</v>
      </c>
      <c r="BR66" s="3" t="s">
        <v>192</v>
      </c>
      <c r="BS66" s="3">
        <v>1</v>
      </c>
      <c r="BT66" s="3" t="s">
        <v>192</v>
      </c>
      <c r="BU66" s="3" t="s">
        <v>192</v>
      </c>
      <c r="BV66" s="3">
        <v>1</v>
      </c>
      <c r="BW66" s="3" t="s">
        <v>192</v>
      </c>
      <c r="BX66" s="3" t="s">
        <v>192</v>
      </c>
      <c r="BY66" s="3" t="s">
        <v>192</v>
      </c>
      <c r="BZ66" s="3" t="s">
        <v>192</v>
      </c>
      <c r="CA66" s="3" t="s">
        <v>192</v>
      </c>
      <c r="CB66" s="3" t="s">
        <v>192</v>
      </c>
      <c r="CC66" s="3" t="s">
        <v>192</v>
      </c>
      <c r="CD66" s="3" t="s">
        <v>192</v>
      </c>
      <c r="CE66" s="3" t="s">
        <v>192</v>
      </c>
      <c r="CF66" s="3">
        <v>1</v>
      </c>
      <c r="CG66" s="3">
        <v>1</v>
      </c>
      <c r="CH66" s="3" t="s">
        <v>192</v>
      </c>
      <c r="CI66" s="3" t="s">
        <v>192</v>
      </c>
      <c r="CJ66" s="3" t="s">
        <v>192</v>
      </c>
      <c r="CK66" s="3" t="s">
        <v>192</v>
      </c>
      <c r="CL66" s="3" t="s">
        <v>192</v>
      </c>
      <c r="CM66" s="3" t="s">
        <v>192</v>
      </c>
      <c r="CN66" s="3" t="s">
        <v>192</v>
      </c>
      <c r="CO66" s="3" t="s">
        <v>192</v>
      </c>
      <c r="CP66" s="3" t="s">
        <v>192</v>
      </c>
      <c r="CQ66" s="3" t="s">
        <v>192</v>
      </c>
      <c r="CR66" s="3" t="s">
        <v>192</v>
      </c>
      <c r="CS66" s="3" t="s">
        <v>192</v>
      </c>
      <c r="CT66" s="1">
        <f>SUM(Table7[[#This Row],[Acyl_amino_acids]:[T3PKS]])</f>
        <v>8</v>
      </c>
      <c r="CU66" s="3" t="s">
        <v>192</v>
      </c>
      <c r="CW66" s="1">
        <f>Table7[[#This Row],[NRPS]]</f>
        <v>1</v>
      </c>
      <c r="CX66" s="1">
        <f>SUM(CP66,CR66,CS66,Table7[[#This Row],[T1PKS, T3PKS]])</f>
        <v>0</v>
      </c>
      <c r="CY66" s="1">
        <f t="shared" si="0"/>
        <v>1</v>
      </c>
      <c r="CZ66" s="1">
        <f>Table7[[#This Row],[Terpene]]</f>
        <v>1</v>
      </c>
      <c r="DA66" s="1">
        <f>SUM(Table7[[#This Row],[Thiopeptide]],BH66,BF66,BE66,BC66,AZ66,AX66,AW66,AJ66,AH66,N66,L66,J66,H66,I66,K66,R66,Q66,Table7[[#This Row],[Cyanobactin, LAP]])</f>
        <v>2</v>
      </c>
      <c r="DB66" s="1">
        <f>SUM(CO66,CN66,CL66,CK66,CJ66,CI66,CH66,CF66,CE66,CD66,CB66,CA66,BZ66,BY66,BX66,BW66,BV66,BT66,BR66,BQ66,BP66,BO66,BM66,BK66,BJ66,BI66,BG66,BD66,BB66,BA66,AY66,AV66,AU66,AT66,AS66,AR66,AQ66,AP66,AO66,AN66,AM66,AL66,AK66,AG66,AF66,AE66,AD66,AC66,AB66,AA66,Z66,Y66,X66,W66,V66,U66,T66,S66,P66,O66,M66,Table7[[#This Row],[Acyl_amino_acids]],E66,F66,G66,)</f>
        <v>3</v>
      </c>
    </row>
    <row r="67" spans="1:106" x14ac:dyDescent="0.25">
      <c r="A67" s="9" t="s">
        <v>731</v>
      </c>
      <c r="B67" s="1" t="s">
        <v>435</v>
      </c>
      <c r="C67" s="1" t="s">
        <v>223</v>
      </c>
      <c r="D67" s="1" t="s">
        <v>192</v>
      </c>
      <c r="E67" s="3" t="s">
        <v>192</v>
      </c>
      <c r="F67" s="3" t="s">
        <v>192</v>
      </c>
      <c r="G67" s="3" t="s">
        <v>192</v>
      </c>
      <c r="H67" s="3">
        <v>1</v>
      </c>
      <c r="I67" s="3" t="s">
        <v>192</v>
      </c>
      <c r="J67" s="3">
        <v>1</v>
      </c>
      <c r="K67" s="3" t="s">
        <v>192</v>
      </c>
      <c r="L67" s="3" t="s">
        <v>192</v>
      </c>
      <c r="M67" s="3" t="s">
        <v>192</v>
      </c>
      <c r="N67" s="3" t="s">
        <v>192</v>
      </c>
      <c r="O67" s="3" t="s">
        <v>192</v>
      </c>
      <c r="P67" s="3" t="s">
        <v>192</v>
      </c>
      <c r="Q67" s="3" t="s">
        <v>192</v>
      </c>
      <c r="R67" s="3" t="s">
        <v>192</v>
      </c>
      <c r="S67" s="3" t="s">
        <v>192</v>
      </c>
      <c r="T67" s="3" t="s">
        <v>192</v>
      </c>
      <c r="U67" s="3" t="s">
        <v>192</v>
      </c>
      <c r="V67" s="3" t="s">
        <v>192</v>
      </c>
      <c r="W67" s="3" t="s">
        <v>192</v>
      </c>
      <c r="X67" s="3" t="s">
        <v>192</v>
      </c>
      <c r="Y67" s="3" t="s">
        <v>192</v>
      </c>
      <c r="Z67" s="3" t="s">
        <v>192</v>
      </c>
      <c r="AA67" s="3" t="s">
        <v>192</v>
      </c>
      <c r="AB67" s="3" t="s">
        <v>192</v>
      </c>
      <c r="AC67" s="3" t="s">
        <v>192</v>
      </c>
      <c r="AD67" s="3" t="s">
        <v>192</v>
      </c>
      <c r="AE67" s="3" t="s">
        <v>192</v>
      </c>
      <c r="AF67" s="3" t="s">
        <v>192</v>
      </c>
      <c r="AG67" s="3" t="s">
        <v>192</v>
      </c>
      <c r="AH67" s="3" t="s">
        <v>192</v>
      </c>
      <c r="AI67" s="3" t="s">
        <v>192</v>
      </c>
      <c r="AJ67" s="3" t="s">
        <v>192</v>
      </c>
      <c r="AK67" s="3" t="s">
        <v>192</v>
      </c>
      <c r="AL67" s="3" t="s">
        <v>192</v>
      </c>
      <c r="AM67" s="3" t="s">
        <v>192</v>
      </c>
      <c r="AN67" s="3" t="s">
        <v>192</v>
      </c>
      <c r="AO67" s="3" t="s">
        <v>192</v>
      </c>
      <c r="AP67" s="3" t="s">
        <v>192</v>
      </c>
      <c r="AQ67" s="3" t="s">
        <v>192</v>
      </c>
      <c r="AR67" s="3" t="s">
        <v>192</v>
      </c>
      <c r="AS67" s="3" t="s">
        <v>192</v>
      </c>
      <c r="AT67" s="3" t="s">
        <v>192</v>
      </c>
      <c r="AU67" s="3" t="s">
        <v>192</v>
      </c>
      <c r="AV67" s="3" t="s">
        <v>192</v>
      </c>
      <c r="AW67" s="3" t="s">
        <v>192</v>
      </c>
      <c r="AX67" s="3" t="s">
        <v>192</v>
      </c>
      <c r="AY67" s="3" t="s">
        <v>192</v>
      </c>
      <c r="AZ67" s="3" t="s">
        <v>192</v>
      </c>
      <c r="BA67" s="3" t="s">
        <v>192</v>
      </c>
      <c r="BB67" s="3" t="s">
        <v>192</v>
      </c>
      <c r="BC67" s="3" t="s">
        <v>192</v>
      </c>
      <c r="BD67" s="3" t="s">
        <v>192</v>
      </c>
      <c r="BE67" s="3" t="s">
        <v>192</v>
      </c>
      <c r="BF67" s="3" t="s">
        <v>192</v>
      </c>
      <c r="BG67" s="3" t="s">
        <v>192</v>
      </c>
      <c r="BH67" s="3" t="s">
        <v>192</v>
      </c>
      <c r="BI67" s="3" t="s">
        <v>192</v>
      </c>
      <c r="BJ67" s="3" t="s">
        <v>192</v>
      </c>
      <c r="BK67" s="3" t="s">
        <v>192</v>
      </c>
      <c r="BL67" s="3" t="s">
        <v>192</v>
      </c>
      <c r="BM67" s="3" t="s">
        <v>192</v>
      </c>
      <c r="BN67" s="3" t="s">
        <v>192</v>
      </c>
      <c r="BO67" s="3" t="s">
        <v>192</v>
      </c>
      <c r="BP67" s="3" t="s">
        <v>192</v>
      </c>
      <c r="BQ67" s="3" t="s">
        <v>192</v>
      </c>
      <c r="BR67" s="3" t="s">
        <v>192</v>
      </c>
      <c r="BS67" s="3" t="s">
        <v>192</v>
      </c>
      <c r="BT67" s="3" t="s">
        <v>192</v>
      </c>
      <c r="BU67" s="3" t="s">
        <v>192</v>
      </c>
      <c r="BV67" s="3" t="s">
        <v>192</v>
      </c>
      <c r="BW67" s="3" t="s">
        <v>192</v>
      </c>
      <c r="BX67" s="3" t="s">
        <v>192</v>
      </c>
      <c r="BY67" s="3" t="s">
        <v>192</v>
      </c>
      <c r="BZ67" s="3" t="s">
        <v>192</v>
      </c>
      <c r="CA67" s="3" t="s">
        <v>192</v>
      </c>
      <c r="CB67" s="3" t="s">
        <v>192</v>
      </c>
      <c r="CC67" s="3" t="s">
        <v>192</v>
      </c>
      <c r="CD67" s="3" t="s">
        <v>192</v>
      </c>
      <c r="CE67" s="3" t="s">
        <v>192</v>
      </c>
      <c r="CF67" s="3" t="s">
        <v>192</v>
      </c>
      <c r="CG67" s="3">
        <v>1</v>
      </c>
      <c r="CH67" s="3" t="s">
        <v>192</v>
      </c>
      <c r="CI67" s="3" t="s">
        <v>192</v>
      </c>
      <c r="CJ67" s="3" t="s">
        <v>192</v>
      </c>
      <c r="CK67" s="3" t="s">
        <v>192</v>
      </c>
      <c r="CL67" s="3" t="s">
        <v>192</v>
      </c>
      <c r="CM67" s="3" t="s">
        <v>192</v>
      </c>
      <c r="CN67" s="3" t="s">
        <v>192</v>
      </c>
      <c r="CO67" s="3" t="s">
        <v>192</v>
      </c>
      <c r="CP67" s="3" t="s">
        <v>192</v>
      </c>
      <c r="CQ67" s="3" t="s">
        <v>192</v>
      </c>
      <c r="CR67" s="3" t="s">
        <v>192</v>
      </c>
      <c r="CS67" s="3" t="s">
        <v>192</v>
      </c>
      <c r="CT67" s="1">
        <f>SUM(Table7[[#This Row],[Acyl_amino_acids]:[T3PKS]])</f>
        <v>3</v>
      </c>
      <c r="CU67" s="3" t="s">
        <v>192</v>
      </c>
      <c r="CW67" s="1" t="str">
        <f>Table7[[#This Row],[NRPS]]</f>
        <v>-</v>
      </c>
      <c r="CX67" s="1">
        <f>SUM(CP67,CR67,CS67,Table7[[#This Row],[T1PKS, T3PKS]])</f>
        <v>0</v>
      </c>
      <c r="CY67" s="1">
        <f t="shared" ref="CY67:CY130" si="1">SUM(BU67,BS67,BN67)</f>
        <v>0</v>
      </c>
      <c r="CZ67" s="1">
        <f>Table7[[#This Row],[Terpene]]</f>
        <v>1</v>
      </c>
      <c r="DA67" s="1">
        <f>SUM(Table7[[#This Row],[Thiopeptide]],BH67,BF67,BE67,BC67,AZ67,AX67,AW67,AJ67,AH67,N67,L67,J67,H67,I67,K67,R67,Q67,Table7[[#This Row],[Cyanobactin, LAP]])</f>
        <v>2</v>
      </c>
      <c r="DB67" s="1">
        <f>SUM(CO67,CN67,CL67,CK67,CJ67,CI67,CH67,CF67,CE67,CD67,CB67,CA67,BZ67,BY67,BX67,BW67,BV67,BT67,BR67,BQ67,BP67,BO67,BM67,BK67,BJ67,BI67,BG67,BD67,BB67,BA67,AY67,AV67,AU67,AT67,AS67,AR67,AQ67,AP67,AO67,AN67,AM67,AL67,AK67,AG67,AF67,AE67,AD67,AC67,AB67,AA67,Z67,Y67,X67,W67,V67,U67,T67,S67,P67,O67,M67,Table7[[#This Row],[Acyl_amino_acids]],E67,F67,G67,)</f>
        <v>0</v>
      </c>
    </row>
    <row r="68" spans="1:106" x14ac:dyDescent="0.25">
      <c r="A68" s="9" t="s">
        <v>720</v>
      </c>
      <c r="B68" s="1" t="s">
        <v>435</v>
      </c>
      <c r="C68" s="1" t="s">
        <v>296</v>
      </c>
      <c r="D68" s="1" t="s">
        <v>192</v>
      </c>
      <c r="E68" s="1" t="s">
        <v>192</v>
      </c>
      <c r="F68" s="3" t="s">
        <v>192</v>
      </c>
      <c r="G68" s="3" t="s">
        <v>192</v>
      </c>
      <c r="H68" s="3">
        <v>1</v>
      </c>
      <c r="I68" s="3" t="s">
        <v>192</v>
      </c>
      <c r="J68" s="3" t="s">
        <v>192</v>
      </c>
      <c r="K68" s="3" t="s">
        <v>192</v>
      </c>
      <c r="L68" s="3" t="s">
        <v>192</v>
      </c>
      <c r="M68" s="3" t="s">
        <v>192</v>
      </c>
      <c r="N68" s="3" t="s">
        <v>192</v>
      </c>
      <c r="O68" s="3" t="s">
        <v>192</v>
      </c>
      <c r="P68" s="3" t="s">
        <v>192</v>
      </c>
      <c r="Q68" s="3" t="s">
        <v>192</v>
      </c>
      <c r="R68" s="3" t="s">
        <v>192</v>
      </c>
      <c r="S68" s="3" t="s">
        <v>192</v>
      </c>
      <c r="T68" s="3" t="s">
        <v>192</v>
      </c>
      <c r="U68" s="3" t="s">
        <v>192</v>
      </c>
      <c r="V68" s="3" t="s">
        <v>192</v>
      </c>
      <c r="W68" s="3" t="s">
        <v>192</v>
      </c>
      <c r="X68" s="3" t="s">
        <v>192</v>
      </c>
      <c r="Y68" s="3" t="s">
        <v>192</v>
      </c>
      <c r="Z68" s="3" t="s">
        <v>192</v>
      </c>
      <c r="AA68" s="3" t="s">
        <v>192</v>
      </c>
      <c r="AB68" s="3" t="s">
        <v>192</v>
      </c>
      <c r="AC68" s="3" t="s">
        <v>192</v>
      </c>
      <c r="AD68" s="3" t="s">
        <v>192</v>
      </c>
      <c r="AE68" s="3" t="s">
        <v>192</v>
      </c>
      <c r="AF68" s="3" t="s">
        <v>192</v>
      </c>
      <c r="AG68" s="3" t="s">
        <v>192</v>
      </c>
      <c r="AH68" s="3" t="s">
        <v>192</v>
      </c>
      <c r="AI68" s="3" t="s">
        <v>192</v>
      </c>
      <c r="AJ68" s="3" t="s">
        <v>192</v>
      </c>
      <c r="AK68" s="3" t="s">
        <v>192</v>
      </c>
      <c r="AL68" s="3" t="s">
        <v>192</v>
      </c>
      <c r="AM68" s="3" t="s">
        <v>192</v>
      </c>
      <c r="AN68" s="3" t="s">
        <v>192</v>
      </c>
      <c r="AO68" s="3" t="s">
        <v>192</v>
      </c>
      <c r="AP68" s="3" t="s">
        <v>192</v>
      </c>
      <c r="AQ68" s="3" t="s">
        <v>192</v>
      </c>
      <c r="AR68" s="3" t="s">
        <v>192</v>
      </c>
      <c r="AS68" s="3" t="s">
        <v>192</v>
      </c>
      <c r="AT68" s="3" t="s">
        <v>192</v>
      </c>
      <c r="AU68" s="3" t="s">
        <v>192</v>
      </c>
      <c r="AV68" s="3" t="s">
        <v>192</v>
      </c>
      <c r="AW68" s="3" t="s">
        <v>192</v>
      </c>
      <c r="AX68" s="3" t="s">
        <v>192</v>
      </c>
      <c r="AY68" s="3" t="s">
        <v>192</v>
      </c>
      <c r="AZ68" s="3">
        <v>1</v>
      </c>
      <c r="BA68" s="3" t="s">
        <v>192</v>
      </c>
      <c r="BB68" s="3" t="s">
        <v>192</v>
      </c>
      <c r="BC68" s="3" t="s">
        <v>192</v>
      </c>
      <c r="BD68" s="3" t="s">
        <v>192</v>
      </c>
      <c r="BE68" s="3" t="s">
        <v>192</v>
      </c>
      <c r="BF68" s="3" t="s">
        <v>192</v>
      </c>
      <c r="BG68" s="3" t="s">
        <v>192</v>
      </c>
      <c r="BH68" s="3" t="s">
        <v>192</v>
      </c>
      <c r="BI68" s="3" t="s">
        <v>192</v>
      </c>
      <c r="BJ68" s="3" t="s">
        <v>192</v>
      </c>
      <c r="BK68" s="3" t="s">
        <v>192</v>
      </c>
      <c r="BL68" s="3">
        <v>3</v>
      </c>
      <c r="BM68" s="3" t="s">
        <v>192</v>
      </c>
      <c r="BN68" s="3" t="s">
        <v>192</v>
      </c>
      <c r="BO68" s="3" t="s">
        <v>192</v>
      </c>
      <c r="BP68" s="3" t="s">
        <v>192</v>
      </c>
      <c r="BQ68" s="3" t="s">
        <v>192</v>
      </c>
      <c r="BR68" s="3" t="s">
        <v>192</v>
      </c>
      <c r="BS68" s="3">
        <v>1</v>
      </c>
      <c r="BT68" s="3" t="s">
        <v>192</v>
      </c>
      <c r="BU68" s="3" t="s">
        <v>192</v>
      </c>
      <c r="BV68" s="3" t="s">
        <v>192</v>
      </c>
      <c r="BW68" s="3" t="s">
        <v>192</v>
      </c>
      <c r="BX68" s="3" t="s">
        <v>192</v>
      </c>
      <c r="BY68" s="3" t="s">
        <v>192</v>
      </c>
      <c r="BZ68" s="3" t="s">
        <v>192</v>
      </c>
      <c r="CA68" s="3" t="s">
        <v>192</v>
      </c>
      <c r="CB68" s="3" t="s">
        <v>192</v>
      </c>
      <c r="CC68" s="3" t="s">
        <v>192</v>
      </c>
      <c r="CD68" s="3" t="s">
        <v>192</v>
      </c>
      <c r="CE68" s="3" t="s">
        <v>192</v>
      </c>
      <c r="CF68" s="3" t="s">
        <v>192</v>
      </c>
      <c r="CG68" s="3">
        <v>2</v>
      </c>
      <c r="CH68" s="3" t="s">
        <v>192</v>
      </c>
      <c r="CI68" s="3" t="s">
        <v>192</v>
      </c>
      <c r="CJ68" s="3" t="s">
        <v>192</v>
      </c>
      <c r="CK68" s="3">
        <v>1</v>
      </c>
      <c r="CL68" s="3" t="s">
        <v>192</v>
      </c>
      <c r="CM68" s="3" t="s">
        <v>192</v>
      </c>
      <c r="CN68" s="3" t="s">
        <v>192</v>
      </c>
      <c r="CO68" s="3" t="s">
        <v>192</v>
      </c>
      <c r="CP68" s="3" t="s">
        <v>192</v>
      </c>
      <c r="CQ68" s="3" t="s">
        <v>192</v>
      </c>
      <c r="CR68" s="3" t="s">
        <v>192</v>
      </c>
      <c r="CS68" s="3" t="s">
        <v>192</v>
      </c>
      <c r="CT68" s="1">
        <f>SUM(Table7[[#This Row],[Acyl_amino_acids]:[T3PKS]])</f>
        <v>9</v>
      </c>
      <c r="CU68" s="3" t="s">
        <v>192</v>
      </c>
      <c r="CW68" s="1">
        <f>Table7[[#This Row],[NRPS]]</f>
        <v>3</v>
      </c>
      <c r="CX68" s="1">
        <f>SUM(CP68,CR68,CS68,Table7[[#This Row],[T1PKS, T3PKS]])</f>
        <v>0</v>
      </c>
      <c r="CY68" s="1">
        <f t="shared" si="1"/>
        <v>1</v>
      </c>
      <c r="CZ68" s="1">
        <f>Table7[[#This Row],[Terpene]]</f>
        <v>2</v>
      </c>
      <c r="DA68" s="1">
        <f>SUM(Table7[[#This Row],[Thiopeptide]],BH68,BF68,BE68,BC68,AZ68,AX68,AW68,AJ68,AH68,N68,L68,J68,H68,I68,K68,R68,Q68,Table7[[#This Row],[Cyanobactin, LAP]])</f>
        <v>2</v>
      </c>
      <c r="DB68" s="1">
        <f>SUM(CO68,CN68,CL68,CK68,CJ68,CI68,CH68,CF68,CE68,CD68,CB68,CA68,BZ68,BY68,BX68,BW68,BV68,BT68,BR68,BQ68,BP68,BO68,BM68,BK68,BJ68,BI68,BG68,BD68,BB68,BA68,AY68,AV68,AU68,AT68,AS68,AR68,AQ68,AP68,AO68,AN68,AM68,AL68,AK68,AG68,AF68,AE68,AD68,AC68,AB68,AA68,Z68,Y68,X68,W68,V68,U68,T68,S68,P68,O68,M68,Table7[[#This Row],[Acyl_amino_acids]],E68,F68,G68,)</f>
        <v>1</v>
      </c>
    </row>
    <row r="69" spans="1:106" x14ac:dyDescent="0.25">
      <c r="A69" s="9" t="s">
        <v>757</v>
      </c>
      <c r="B69" s="1" t="s">
        <v>435</v>
      </c>
      <c r="C69" s="1" t="s">
        <v>297</v>
      </c>
      <c r="D69" s="1" t="s">
        <v>192</v>
      </c>
      <c r="E69" s="3" t="s">
        <v>192</v>
      </c>
      <c r="F69" s="3" t="s">
        <v>192</v>
      </c>
      <c r="G69" s="3" t="s">
        <v>192</v>
      </c>
      <c r="H69" s="3">
        <v>1</v>
      </c>
      <c r="I69" s="3" t="s">
        <v>192</v>
      </c>
      <c r="J69" s="3" t="s">
        <v>192</v>
      </c>
      <c r="K69" s="3" t="s">
        <v>192</v>
      </c>
      <c r="L69" s="3" t="s">
        <v>192</v>
      </c>
      <c r="M69" s="3" t="s">
        <v>192</v>
      </c>
      <c r="N69" s="3" t="s">
        <v>192</v>
      </c>
      <c r="O69" s="3" t="s">
        <v>192</v>
      </c>
      <c r="P69" s="3" t="s">
        <v>192</v>
      </c>
      <c r="Q69" s="3" t="s">
        <v>192</v>
      </c>
      <c r="R69" s="3" t="s">
        <v>192</v>
      </c>
      <c r="S69" s="3" t="s">
        <v>192</v>
      </c>
      <c r="T69" s="3" t="s">
        <v>192</v>
      </c>
      <c r="U69" s="3" t="s">
        <v>192</v>
      </c>
      <c r="V69" s="3" t="s">
        <v>192</v>
      </c>
      <c r="W69" s="3" t="s">
        <v>192</v>
      </c>
      <c r="X69" s="3" t="s">
        <v>192</v>
      </c>
      <c r="Y69" s="3" t="s">
        <v>192</v>
      </c>
      <c r="Z69" s="3" t="s">
        <v>192</v>
      </c>
      <c r="AA69" s="3" t="s">
        <v>192</v>
      </c>
      <c r="AB69" s="3" t="s">
        <v>192</v>
      </c>
      <c r="AC69" s="3" t="s">
        <v>192</v>
      </c>
      <c r="AD69" s="3" t="s">
        <v>192</v>
      </c>
      <c r="AE69" s="3" t="s">
        <v>192</v>
      </c>
      <c r="AF69" s="3" t="s">
        <v>192</v>
      </c>
      <c r="AG69" s="3" t="s">
        <v>192</v>
      </c>
      <c r="AH69" s="3" t="s">
        <v>192</v>
      </c>
      <c r="AI69" s="3" t="s">
        <v>192</v>
      </c>
      <c r="AJ69" s="3" t="s">
        <v>192</v>
      </c>
      <c r="AK69" s="3" t="s">
        <v>192</v>
      </c>
      <c r="AL69" s="3" t="s">
        <v>192</v>
      </c>
      <c r="AM69" s="3" t="s">
        <v>192</v>
      </c>
      <c r="AN69" s="3" t="s">
        <v>192</v>
      </c>
      <c r="AO69" s="3" t="s">
        <v>192</v>
      </c>
      <c r="AP69" s="3" t="s">
        <v>192</v>
      </c>
      <c r="AQ69" s="3" t="s">
        <v>192</v>
      </c>
      <c r="AR69" s="3" t="s">
        <v>192</v>
      </c>
      <c r="AS69" s="3" t="s">
        <v>192</v>
      </c>
      <c r="AT69" s="3" t="s">
        <v>192</v>
      </c>
      <c r="AU69" s="3" t="s">
        <v>192</v>
      </c>
      <c r="AV69" s="3" t="s">
        <v>192</v>
      </c>
      <c r="AW69" s="3" t="s">
        <v>192</v>
      </c>
      <c r="AX69" s="3" t="s">
        <v>192</v>
      </c>
      <c r="AY69" s="3" t="s">
        <v>192</v>
      </c>
      <c r="AZ69" s="3" t="s">
        <v>192</v>
      </c>
      <c r="BA69" s="3" t="s">
        <v>192</v>
      </c>
      <c r="BB69" s="3" t="s">
        <v>192</v>
      </c>
      <c r="BC69" s="3" t="s">
        <v>192</v>
      </c>
      <c r="BD69" s="3" t="s">
        <v>192</v>
      </c>
      <c r="BE69" s="3" t="s">
        <v>192</v>
      </c>
      <c r="BF69" s="3" t="s">
        <v>192</v>
      </c>
      <c r="BG69" s="3" t="s">
        <v>192</v>
      </c>
      <c r="BH69" s="3">
        <v>1</v>
      </c>
      <c r="BI69" s="3">
        <v>1</v>
      </c>
      <c r="BJ69" s="3" t="s">
        <v>192</v>
      </c>
      <c r="BK69" s="3" t="s">
        <v>192</v>
      </c>
      <c r="BL69" s="3">
        <v>1</v>
      </c>
      <c r="BM69" s="3" t="s">
        <v>192</v>
      </c>
      <c r="BN69" s="3" t="s">
        <v>192</v>
      </c>
      <c r="BO69" s="3" t="s">
        <v>192</v>
      </c>
      <c r="BP69" s="3" t="s">
        <v>192</v>
      </c>
      <c r="BQ69" s="3" t="s">
        <v>192</v>
      </c>
      <c r="BR69" s="3" t="s">
        <v>192</v>
      </c>
      <c r="BS69" s="3" t="s">
        <v>192</v>
      </c>
      <c r="BT69" s="3" t="s">
        <v>192</v>
      </c>
      <c r="BU69" s="3" t="s">
        <v>192</v>
      </c>
      <c r="BV69" s="3" t="s">
        <v>192</v>
      </c>
      <c r="BW69" s="3" t="s">
        <v>192</v>
      </c>
      <c r="BX69" s="3" t="s">
        <v>192</v>
      </c>
      <c r="BY69" s="3" t="s">
        <v>192</v>
      </c>
      <c r="BZ69" s="3" t="s">
        <v>192</v>
      </c>
      <c r="CA69" s="3" t="s">
        <v>192</v>
      </c>
      <c r="CB69" s="3" t="s">
        <v>192</v>
      </c>
      <c r="CC69" s="3" t="s">
        <v>192</v>
      </c>
      <c r="CD69" s="3" t="s">
        <v>192</v>
      </c>
      <c r="CE69" s="3" t="s">
        <v>192</v>
      </c>
      <c r="CF69" s="3" t="s">
        <v>192</v>
      </c>
      <c r="CG69" s="3">
        <v>3</v>
      </c>
      <c r="CH69" s="3" t="s">
        <v>192</v>
      </c>
      <c r="CI69" s="3" t="s">
        <v>192</v>
      </c>
      <c r="CJ69" s="3" t="s">
        <v>192</v>
      </c>
      <c r="CK69" s="3" t="s">
        <v>192</v>
      </c>
      <c r="CL69" s="3" t="s">
        <v>192</v>
      </c>
      <c r="CM69" s="3" t="s">
        <v>192</v>
      </c>
      <c r="CN69" s="3" t="s">
        <v>192</v>
      </c>
      <c r="CO69" s="3" t="s">
        <v>192</v>
      </c>
      <c r="CP69" s="3">
        <v>1</v>
      </c>
      <c r="CQ69" s="3" t="s">
        <v>192</v>
      </c>
      <c r="CR69" s="3" t="s">
        <v>192</v>
      </c>
      <c r="CS69" s="3">
        <v>1</v>
      </c>
      <c r="CT69" s="1">
        <f>SUM(Table7[[#This Row],[Acyl_amino_acids]:[T3PKS]])</f>
        <v>9</v>
      </c>
      <c r="CU69" s="2" t="s">
        <v>539</v>
      </c>
      <c r="CW69" s="1">
        <f>Table7[[#This Row],[NRPS]]</f>
        <v>1</v>
      </c>
      <c r="CX69" s="1">
        <f>SUM(CP69,CR69,CS69,Table7[[#This Row],[T1PKS, T3PKS]])</f>
        <v>2</v>
      </c>
      <c r="CY69" s="1">
        <f t="shared" si="1"/>
        <v>0</v>
      </c>
      <c r="CZ69" s="1">
        <f>Table7[[#This Row],[Terpene]]</f>
        <v>3</v>
      </c>
      <c r="DA69" s="1">
        <f>SUM(Table7[[#This Row],[Thiopeptide]],BH69,BF69,BE69,BC69,AZ69,AX69,AW69,AJ69,AH69,N69,L69,J69,H69,I69,K69,R69,Q69,Table7[[#This Row],[Cyanobactin, LAP]])</f>
        <v>2</v>
      </c>
      <c r="DB69" s="1">
        <f>SUM(CO69,CN69,CL69,CK69,CJ69,CI69,CH69,CF69,CE69,CD69,CB69,CA69,BZ69,BY69,BX69,BW69,BV69,BT69,BR69,BQ69,BP69,BO69,BM69,BK69,BJ69,BI69,BG69,BD69,BB69,BA69,AY69,AV69,AU69,AT69,AS69,AR69,AQ69,AP69,AO69,AN69,AM69,AL69,AK69,AG69,AF69,AE69,AD69,AC69,AB69,AA69,Z69,Y69,X69,W69,V69,U69,T69,S69,P69,O69,M69,Table7[[#This Row],[Acyl_amino_acids]],E69,F69,G69,)</f>
        <v>1</v>
      </c>
    </row>
    <row r="70" spans="1:106" x14ac:dyDescent="0.25">
      <c r="A70" s="9" t="s">
        <v>743</v>
      </c>
      <c r="B70" s="1" t="s">
        <v>435</v>
      </c>
      <c r="C70" s="1" t="s">
        <v>301</v>
      </c>
      <c r="D70" s="1" t="s">
        <v>192</v>
      </c>
      <c r="E70" s="3" t="s">
        <v>192</v>
      </c>
      <c r="F70" s="3" t="s">
        <v>192</v>
      </c>
      <c r="G70" s="3" t="s">
        <v>192</v>
      </c>
      <c r="H70" s="3">
        <v>1</v>
      </c>
      <c r="I70" s="3" t="s">
        <v>192</v>
      </c>
      <c r="J70" s="3" t="s">
        <v>192</v>
      </c>
      <c r="K70" s="3" t="s">
        <v>192</v>
      </c>
      <c r="L70" s="3" t="s">
        <v>192</v>
      </c>
      <c r="M70" s="3" t="s">
        <v>192</v>
      </c>
      <c r="N70" s="3" t="s">
        <v>192</v>
      </c>
      <c r="O70" s="3" t="s">
        <v>192</v>
      </c>
      <c r="P70" s="3" t="s">
        <v>192</v>
      </c>
      <c r="Q70" s="3" t="s">
        <v>192</v>
      </c>
      <c r="R70" s="3" t="s">
        <v>192</v>
      </c>
      <c r="S70" s="3" t="s">
        <v>192</v>
      </c>
      <c r="T70" s="3" t="s">
        <v>192</v>
      </c>
      <c r="U70" s="3" t="s">
        <v>192</v>
      </c>
      <c r="V70" s="3" t="s">
        <v>192</v>
      </c>
      <c r="W70" s="3" t="s">
        <v>192</v>
      </c>
      <c r="X70" s="3" t="s">
        <v>192</v>
      </c>
      <c r="Y70" s="3" t="s">
        <v>192</v>
      </c>
      <c r="Z70" s="3" t="s">
        <v>192</v>
      </c>
      <c r="AA70" s="3" t="s">
        <v>192</v>
      </c>
      <c r="AB70" s="3" t="s">
        <v>192</v>
      </c>
      <c r="AC70" s="3" t="s">
        <v>192</v>
      </c>
      <c r="AD70" s="3" t="s">
        <v>192</v>
      </c>
      <c r="AE70" s="3" t="s">
        <v>192</v>
      </c>
      <c r="AF70" s="3" t="s">
        <v>192</v>
      </c>
      <c r="AG70" s="3" t="s">
        <v>192</v>
      </c>
      <c r="AH70" s="3" t="s">
        <v>192</v>
      </c>
      <c r="AI70" s="3" t="s">
        <v>192</v>
      </c>
      <c r="AJ70" s="3" t="s">
        <v>192</v>
      </c>
      <c r="AK70" s="3" t="s">
        <v>192</v>
      </c>
      <c r="AL70" s="3" t="s">
        <v>192</v>
      </c>
      <c r="AM70" s="3" t="s">
        <v>192</v>
      </c>
      <c r="AN70" s="3" t="s">
        <v>192</v>
      </c>
      <c r="AO70" s="3" t="s">
        <v>192</v>
      </c>
      <c r="AP70" s="3" t="s">
        <v>192</v>
      </c>
      <c r="AQ70" s="3" t="s">
        <v>192</v>
      </c>
      <c r="AR70" s="3" t="s">
        <v>192</v>
      </c>
      <c r="AS70" s="3" t="s">
        <v>192</v>
      </c>
      <c r="AT70" s="3" t="s">
        <v>192</v>
      </c>
      <c r="AU70" s="3" t="s">
        <v>192</v>
      </c>
      <c r="AV70" s="3" t="s">
        <v>192</v>
      </c>
      <c r="AW70" s="3" t="s">
        <v>192</v>
      </c>
      <c r="AX70" s="3" t="s">
        <v>192</v>
      </c>
      <c r="AY70" s="3" t="s">
        <v>192</v>
      </c>
      <c r="AZ70" s="3" t="s">
        <v>192</v>
      </c>
      <c r="BA70" s="3" t="s">
        <v>192</v>
      </c>
      <c r="BB70" s="3" t="s">
        <v>192</v>
      </c>
      <c r="BC70" s="3" t="s">
        <v>192</v>
      </c>
      <c r="BD70" s="3" t="s">
        <v>192</v>
      </c>
      <c r="BE70" s="3" t="s">
        <v>192</v>
      </c>
      <c r="BF70" s="3" t="s">
        <v>192</v>
      </c>
      <c r="BG70" s="3" t="s">
        <v>192</v>
      </c>
      <c r="BH70" s="3">
        <v>1</v>
      </c>
      <c r="BI70" s="3">
        <v>1</v>
      </c>
      <c r="BJ70" s="3" t="s">
        <v>192</v>
      </c>
      <c r="BK70" s="3" t="s">
        <v>192</v>
      </c>
      <c r="BL70" s="3">
        <v>1</v>
      </c>
      <c r="BM70" s="3" t="s">
        <v>192</v>
      </c>
      <c r="BN70" s="3" t="s">
        <v>192</v>
      </c>
      <c r="BO70" s="3" t="s">
        <v>192</v>
      </c>
      <c r="BP70" s="3" t="s">
        <v>192</v>
      </c>
      <c r="BQ70" s="3" t="s">
        <v>192</v>
      </c>
      <c r="BR70" s="3" t="s">
        <v>192</v>
      </c>
      <c r="BS70" s="3" t="s">
        <v>192</v>
      </c>
      <c r="BT70" s="3" t="s">
        <v>192</v>
      </c>
      <c r="BU70" s="3" t="s">
        <v>192</v>
      </c>
      <c r="BV70" s="3" t="s">
        <v>192</v>
      </c>
      <c r="BW70" s="3" t="s">
        <v>192</v>
      </c>
      <c r="BX70" s="3" t="s">
        <v>192</v>
      </c>
      <c r="BY70" s="3" t="s">
        <v>192</v>
      </c>
      <c r="BZ70" s="3" t="s">
        <v>192</v>
      </c>
      <c r="CA70" s="3" t="s">
        <v>192</v>
      </c>
      <c r="CB70" s="3" t="s">
        <v>192</v>
      </c>
      <c r="CC70" s="3" t="s">
        <v>192</v>
      </c>
      <c r="CD70" s="3" t="s">
        <v>192</v>
      </c>
      <c r="CE70" s="3" t="s">
        <v>192</v>
      </c>
      <c r="CF70" s="3" t="s">
        <v>192</v>
      </c>
      <c r="CG70" s="3">
        <v>3</v>
      </c>
      <c r="CH70" s="3" t="s">
        <v>192</v>
      </c>
      <c r="CI70" s="3" t="s">
        <v>192</v>
      </c>
      <c r="CJ70" s="3" t="s">
        <v>192</v>
      </c>
      <c r="CK70" s="3" t="s">
        <v>192</v>
      </c>
      <c r="CL70" s="3" t="s">
        <v>192</v>
      </c>
      <c r="CM70" s="3" t="s">
        <v>192</v>
      </c>
      <c r="CN70" s="3" t="s">
        <v>192</v>
      </c>
      <c r="CO70" s="3" t="s">
        <v>192</v>
      </c>
      <c r="CP70" s="3">
        <v>1</v>
      </c>
      <c r="CQ70" s="3" t="s">
        <v>192</v>
      </c>
      <c r="CR70" s="3" t="s">
        <v>192</v>
      </c>
      <c r="CS70" s="3">
        <v>1</v>
      </c>
      <c r="CT70" s="1">
        <f>SUM(Table7[[#This Row],[Acyl_amino_acids]:[T3PKS]])</f>
        <v>9</v>
      </c>
      <c r="CU70" s="2" t="s">
        <v>526</v>
      </c>
      <c r="CW70" s="1">
        <f>Table7[[#This Row],[NRPS]]</f>
        <v>1</v>
      </c>
      <c r="CX70" s="1">
        <f>SUM(CP70,CR70,CS70,Table7[[#This Row],[T1PKS, T3PKS]])</f>
        <v>2</v>
      </c>
      <c r="CY70" s="1">
        <f t="shared" si="1"/>
        <v>0</v>
      </c>
      <c r="CZ70" s="1">
        <f>Table7[[#This Row],[Terpene]]</f>
        <v>3</v>
      </c>
      <c r="DA70" s="1">
        <f>SUM(Table7[[#This Row],[Thiopeptide]],BH70,BF70,BE70,BC70,AZ70,AX70,AW70,AJ70,AH70,N70,L70,J70,H70,I70,K70,R70,Q70,Table7[[#This Row],[Cyanobactin, LAP]])</f>
        <v>2</v>
      </c>
      <c r="DB70" s="1">
        <f>SUM(CO70,CN70,CL70,CK70,CJ70,CI70,CH70,CF70,CE70,CD70,CB70,CA70,BZ70,BY70,BX70,BW70,BV70,BT70,BR70,BQ70,BP70,BO70,BM70,BK70,BJ70,BI70,BG70,BD70,BB70,BA70,AY70,AV70,AU70,AT70,AS70,AR70,AQ70,AP70,AO70,AN70,AM70,AL70,AK70,AG70,AF70,AE70,AD70,AC70,AB70,AA70,Z70,Y70,X70,W70,V70,U70,T70,S70,P70,O70,M70,Table7[[#This Row],[Acyl_amino_acids]],E70,F70,G70,)</f>
        <v>1</v>
      </c>
    </row>
    <row r="71" spans="1:106" x14ac:dyDescent="0.25">
      <c r="A71" s="9" t="s">
        <v>694</v>
      </c>
      <c r="B71" s="1" t="s">
        <v>435</v>
      </c>
      <c r="C71" s="1" t="s">
        <v>455</v>
      </c>
      <c r="D71" s="1" t="s">
        <v>192</v>
      </c>
      <c r="E71" s="1" t="s">
        <v>192</v>
      </c>
      <c r="F71" s="1" t="s">
        <v>192</v>
      </c>
      <c r="G71" s="1" t="s">
        <v>192</v>
      </c>
      <c r="H71" s="1">
        <v>1</v>
      </c>
      <c r="I71" s="1" t="s">
        <v>192</v>
      </c>
      <c r="J71" s="1" t="s">
        <v>192</v>
      </c>
      <c r="K71" s="1" t="s">
        <v>192</v>
      </c>
      <c r="L71" s="1" t="s">
        <v>192</v>
      </c>
      <c r="M71" s="1" t="s">
        <v>192</v>
      </c>
      <c r="N71" s="1" t="s">
        <v>192</v>
      </c>
      <c r="O71" s="1" t="s">
        <v>192</v>
      </c>
      <c r="P71" s="1" t="s">
        <v>192</v>
      </c>
      <c r="Q71" s="1" t="s">
        <v>192</v>
      </c>
      <c r="R71" s="1" t="s">
        <v>192</v>
      </c>
      <c r="S71" s="1" t="s">
        <v>192</v>
      </c>
      <c r="T71" s="1" t="s">
        <v>192</v>
      </c>
      <c r="U71" s="1" t="s">
        <v>192</v>
      </c>
      <c r="V71" s="1" t="s">
        <v>192</v>
      </c>
      <c r="W71" s="1" t="s">
        <v>192</v>
      </c>
      <c r="X71" s="1" t="s">
        <v>192</v>
      </c>
      <c r="Y71" s="1">
        <v>1</v>
      </c>
      <c r="Z71" s="1" t="s">
        <v>192</v>
      </c>
      <c r="AA71" s="1" t="s">
        <v>192</v>
      </c>
      <c r="AB71" s="1" t="s">
        <v>192</v>
      </c>
      <c r="AC71" s="1" t="s">
        <v>192</v>
      </c>
      <c r="AD71" s="1" t="s">
        <v>192</v>
      </c>
      <c r="AE71" s="1" t="s">
        <v>192</v>
      </c>
      <c r="AF71" s="1" t="s">
        <v>192</v>
      </c>
      <c r="AG71" s="1" t="s">
        <v>192</v>
      </c>
      <c r="AH71" s="1">
        <v>1</v>
      </c>
      <c r="AI71" s="1" t="s">
        <v>192</v>
      </c>
      <c r="AJ71" s="1" t="s">
        <v>192</v>
      </c>
      <c r="AK71" s="1" t="s">
        <v>192</v>
      </c>
      <c r="AL71" s="1" t="s">
        <v>192</v>
      </c>
      <c r="AM71" s="1" t="s">
        <v>192</v>
      </c>
      <c r="AN71" s="1" t="s">
        <v>192</v>
      </c>
      <c r="AO71" s="1">
        <v>1</v>
      </c>
      <c r="AP71" s="1" t="s">
        <v>192</v>
      </c>
      <c r="AQ71" s="1" t="s">
        <v>192</v>
      </c>
      <c r="AR71" s="1" t="s">
        <v>192</v>
      </c>
      <c r="AS71" s="1" t="s">
        <v>192</v>
      </c>
      <c r="AT71" s="1" t="s">
        <v>192</v>
      </c>
      <c r="AU71" s="1" t="s">
        <v>192</v>
      </c>
      <c r="AV71" s="1" t="s">
        <v>192</v>
      </c>
      <c r="AW71" s="1" t="s">
        <v>192</v>
      </c>
      <c r="AX71" s="1" t="s">
        <v>192</v>
      </c>
      <c r="AY71" s="1" t="s">
        <v>192</v>
      </c>
      <c r="AZ71" s="1" t="s">
        <v>192</v>
      </c>
      <c r="BA71" s="1" t="s">
        <v>192</v>
      </c>
      <c r="BB71" s="1" t="s">
        <v>192</v>
      </c>
      <c r="BC71" s="1" t="s">
        <v>192</v>
      </c>
      <c r="BD71" s="1" t="s">
        <v>192</v>
      </c>
      <c r="BE71" s="1" t="s">
        <v>192</v>
      </c>
      <c r="BF71" s="1" t="s">
        <v>192</v>
      </c>
      <c r="BG71" s="1" t="s">
        <v>192</v>
      </c>
      <c r="BH71" s="1">
        <v>1</v>
      </c>
      <c r="BI71" s="1">
        <v>1</v>
      </c>
      <c r="BJ71" s="1" t="s">
        <v>192</v>
      </c>
      <c r="BK71" s="1" t="s">
        <v>192</v>
      </c>
      <c r="BL71" s="1">
        <v>2</v>
      </c>
      <c r="BM71" s="1" t="s">
        <v>192</v>
      </c>
      <c r="BN71" s="1" t="s">
        <v>192</v>
      </c>
      <c r="BO71" s="1" t="s">
        <v>192</v>
      </c>
      <c r="BP71" s="1" t="s">
        <v>192</v>
      </c>
      <c r="BQ71" s="1" t="s">
        <v>192</v>
      </c>
      <c r="BR71" s="1" t="s">
        <v>192</v>
      </c>
      <c r="BS71" s="1">
        <v>1</v>
      </c>
      <c r="BT71" s="1" t="s">
        <v>192</v>
      </c>
      <c r="BU71" s="1" t="s">
        <v>192</v>
      </c>
      <c r="BV71" s="1" t="s">
        <v>192</v>
      </c>
      <c r="BW71" s="1" t="s">
        <v>192</v>
      </c>
      <c r="BX71" s="1" t="s">
        <v>192</v>
      </c>
      <c r="BY71" s="1" t="s">
        <v>192</v>
      </c>
      <c r="BZ71" s="1" t="s">
        <v>192</v>
      </c>
      <c r="CA71" s="1" t="s">
        <v>192</v>
      </c>
      <c r="CB71" s="1" t="s">
        <v>192</v>
      </c>
      <c r="CC71" s="1" t="s">
        <v>192</v>
      </c>
      <c r="CD71" s="1" t="s">
        <v>192</v>
      </c>
      <c r="CE71" s="1" t="s">
        <v>192</v>
      </c>
      <c r="CF71" s="1" t="s">
        <v>192</v>
      </c>
      <c r="CG71" s="1">
        <v>2</v>
      </c>
      <c r="CH71" s="1" t="s">
        <v>192</v>
      </c>
      <c r="CI71" s="1">
        <v>1</v>
      </c>
      <c r="CJ71" s="1" t="s">
        <v>192</v>
      </c>
      <c r="CK71" s="1" t="s">
        <v>192</v>
      </c>
      <c r="CL71" s="1" t="s">
        <v>192</v>
      </c>
      <c r="CM71" s="1" t="s">
        <v>192</v>
      </c>
      <c r="CN71" s="1" t="s">
        <v>192</v>
      </c>
      <c r="CO71" s="1" t="s">
        <v>192</v>
      </c>
      <c r="CP71" s="1" t="s">
        <v>192</v>
      </c>
      <c r="CQ71" s="1" t="s">
        <v>192</v>
      </c>
      <c r="CR71" s="1" t="s">
        <v>192</v>
      </c>
      <c r="CS71" s="1" t="s">
        <v>192</v>
      </c>
      <c r="CT71" s="1">
        <f>SUM(Table7[[#This Row],[Acyl_amino_acids]:[T3PKS]])</f>
        <v>12</v>
      </c>
      <c r="CU71" s="2" t="s">
        <v>459</v>
      </c>
      <c r="CW71" s="1">
        <f>Table7[[#This Row],[NRPS]]</f>
        <v>2</v>
      </c>
      <c r="CX71" s="1">
        <f>SUM(CP71,CR71,CS71,Table7[[#This Row],[T1PKS, T3PKS]])</f>
        <v>0</v>
      </c>
      <c r="CY71" s="1">
        <f t="shared" si="1"/>
        <v>1</v>
      </c>
      <c r="CZ71" s="1">
        <f>Table7[[#This Row],[Terpene]]</f>
        <v>2</v>
      </c>
      <c r="DA71" s="1">
        <f>SUM(Table7[[#This Row],[Thiopeptide]],BH71,BF71,BE71,BC71,AZ71,AX71,AW71,AJ71,AH71,N71,L71,J71,H71,I71,K71,R71,Q71,Table7[[#This Row],[Cyanobactin, LAP]])</f>
        <v>3</v>
      </c>
      <c r="DB71" s="1">
        <f>SUM(CO71,CN71,CL71,CK71,CJ71,CI71,CH71,CF71,CE71,CD71,CB71,CA71,BZ71,BY71,BX71,BW71,BV71,BT71,BR71,BQ71,BP71,BO71,BM71,BK71,BJ71,BI71,BG71,BD71,BB71,BA71,AY71,AV71,AU71,AT71,AS71,AR71,AQ71,AP71,AO71,AN71,AM71,AL71,AK71,AG71,AF71,AE71,AD71,AC71,AB71,AA71,Z71,Y71,X71,W71,V71,U71,T71,S71,P71,O71,M71,Table7[[#This Row],[Acyl_amino_acids]],E71,F71,G71,)</f>
        <v>4</v>
      </c>
    </row>
    <row r="72" spans="1:106" s="8" customFormat="1" x14ac:dyDescent="0.25">
      <c r="A72" s="9" t="s">
        <v>766</v>
      </c>
      <c r="B72" s="1" t="s">
        <v>435</v>
      </c>
      <c r="C72" s="1" t="s">
        <v>302</v>
      </c>
      <c r="D72" s="3" t="s">
        <v>192</v>
      </c>
      <c r="E72" s="3" t="s">
        <v>192</v>
      </c>
      <c r="F72" s="3" t="s">
        <v>192</v>
      </c>
      <c r="G72" s="3" t="s">
        <v>192</v>
      </c>
      <c r="H72" s="3">
        <v>1</v>
      </c>
      <c r="I72" s="3" t="s">
        <v>192</v>
      </c>
      <c r="J72" s="3">
        <v>1</v>
      </c>
      <c r="K72" s="3" t="s">
        <v>192</v>
      </c>
      <c r="L72" s="3" t="s">
        <v>192</v>
      </c>
      <c r="M72" s="3" t="s">
        <v>192</v>
      </c>
      <c r="N72" s="3" t="s">
        <v>192</v>
      </c>
      <c r="O72" s="3" t="s">
        <v>192</v>
      </c>
      <c r="P72" s="3" t="s">
        <v>192</v>
      </c>
      <c r="Q72" s="3" t="s">
        <v>192</v>
      </c>
      <c r="R72" s="3" t="s">
        <v>192</v>
      </c>
      <c r="S72" s="3" t="s">
        <v>192</v>
      </c>
      <c r="T72" s="3" t="s">
        <v>192</v>
      </c>
      <c r="U72" s="3" t="s">
        <v>192</v>
      </c>
      <c r="V72" s="3" t="s">
        <v>192</v>
      </c>
      <c r="W72" s="3" t="s">
        <v>192</v>
      </c>
      <c r="X72" s="3" t="s">
        <v>192</v>
      </c>
      <c r="Y72" s="3" t="s">
        <v>192</v>
      </c>
      <c r="Z72" s="3" t="s">
        <v>192</v>
      </c>
      <c r="AA72" s="3" t="s">
        <v>192</v>
      </c>
      <c r="AB72" s="3" t="s">
        <v>192</v>
      </c>
      <c r="AC72" s="3" t="s">
        <v>192</v>
      </c>
      <c r="AD72" s="3" t="s">
        <v>192</v>
      </c>
      <c r="AE72" s="3" t="s">
        <v>192</v>
      </c>
      <c r="AF72" s="3" t="s">
        <v>192</v>
      </c>
      <c r="AG72" s="3" t="s">
        <v>192</v>
      </c>
      <c r="AH72" s="3" t="s">
        <v>192</v>
      </c>
      <c r="AI72" s="3" t="s">
        <v>192</v>
      </c>
      <c r="AJ72" s="3" t="s">
        <v>192</v>
      </c>
      <c r="AK72" s="3" t="s">
        <v>192</v>
      </c>
      <c r="AL72" s="3" t="s">
        <v>192</v>
      </c>
      <c r="AM72" s="3" t="s">
        <v>192</v>
      </c>
      <c r="AN72" s="3" t="s">
        <v>192</v>
      </c>
      <c r="AO72" s="3" t="s">
        <v>192</v>
      </c>
      <c r="AP72" s="3" t="s">
        <v>192</v>
      </c>
      <c r="AQ72" s="3" t="s">
        <v>192</v>
      </c>
      <c r="AR72" s="3" t="s">
        <v>192</v>
      </c>
      <c r="AS72" s="3" t="s">
        <v>192</v>
      </c>
      <c r="AT72" s="3" t="s">
        <v>192</v>
      </c>
      <c r="AU72" s="3" t="s">
        <v>192</v>
      </c>
      <c r="AV72" s="3" t="s">
        <v>192</v>
      </c>
      <c r="AW72" s="3" t="s">
        <v>192</v>
      </c>
      <c r="AX72" s="3" t="s">
        <v>192</v>
      </c>
      <c r="AY72" s="3" t="s">
        <v>192</v>
      </c>
      <c r="AZ72" s="3" t="s">
        <v>192</v>
      </c>
      <c r="BA72" s="3" t="s">
        <v>192</v>
      </c>
      <c r="BB72" s="3" t="s">
        <v>192</v>
      </c>
      <c r="BC72" s="3" t="s">
        <v>192</v>
      </c>
      <c r="BD72" s="3" t="s">
        <v>192</v>
      </c>
      <c r="BE72" s="3" t="s">
        <v>192</v>
      </c>
      <c r="BF72" s="3" t="s">
        <v>192</v>
      </c>
      <c r="BG72" s="3" t="s">
        <v>192</v>
      </c>
      <c r="BH72" s="3" t="s">
        <v>192</v>
      </c>
      <c r="BI72" s="3">
        <v>1</v>
      </c>
      <c r="BJ72" s="3" t="s">
        <v>192</v>
      </c>
      <c r="BK72" s="3" t="s">
        <v>192</v>
      </c>
      <c r="BL72" s="3">
        <v>1</v>
      </c>
      <c r="BM72" s="3" t="s">
        <v>192</v>
      </c>
      <c r="BN72" s="3" t="s">
        <v>192</v>
      </c>
      <c r="BO72" s="3" t="s">
        <v>192</v>
      </c>
      <c r="BP72" s="3" t="s">
        <v>192</v>
      </c>
      <c r="BQ72" s="3" t="s">
        <v>192</v>
      </c>
      <c r="BR72" s="3" t="s">
        <v>192</v>
      </c>
      <c r="BS72" s="3">
        <v>1</v>
      </c>
      <c r="BT72" s="3" t="s">
        <v>192</v>
      </c>
      <c r="BU72" s="3">
        <v>1</v>
      </c>
      <c r="BV72" s="3" t="s">
        <v>192</v>
      </c>
      <c r="BW72" s="3" t="s">
        <v>192</v>
      </c>
      <c r="BX72" s="3" t="s">
        <v>192</v>
      </c>
      <c r="BY72" s="3" t="s">
        <v>192</v>
      </c>
      <c r="BZ72" s="3" t="s">
        <v>192</v>
      </c>
      <c r="CA72" s="3" t="s">
        <v>192</v>
      </c>
      <c r="CB72" s="3" t="s">
        <v>192</v>
      </c>
      <c r="CC72" s="3" t="s">
        <v>192</v>
      </c>
      <c r="CD72" s="3" t="s">
        <v>192</v>
      </c>
      <c r="CE72" s="3" t="s">
        <v>192</v>
      </c>
      <c r="CF72" s="3" t="s">
        <v>192</v>
      </c>
      <c r="CG72" s="3">
        <v>3</v>
      </c>
      <c r="CH72" s="3" t="s">
        <v>192</v>
      </c>
      <c r="CI72" s="3" t="s">
        <v>192</v>
      </c>
      <c r="CJ72" s="3" t="s">
        <v>192</v>
      </c>
      <c r="CK72" s="3" t="s">
        <v>192</v>
      </c>
      <c r="CL72" s="3" t="s">
        <v>192</v>
      </c>
      <c r="CM72" s="3" t="s">
        <v>192</v>
      </c>
      <c r="CN72" s="3" t="s">
        <v>192</v>
      </c>
      <c r="CO72" s="3" t="s">
        <v>192</v>
      </c>
      <c r="CP72" s="3">
        <v>1</v>
      </c>
      <c r="CQ72" s="3" t="s">
        <v>192</v>
      </c>
      <c r="CR72" s="3" t="s">
        <v>192</v>
      </c>
      <c r="CS72" s="3" t="s">
        <v>192</v>
      </c>
      <c r="CT72" s="1">
        <f>SUM(Table7[[#This Row],[Acyl_amino_acids]:[T3PKS]])</f>
        <v>10</v>
      </c>
      <c r="CU72" s="2" t="s">
        <v>553</v>
      </c>
      <c r="CW72" s="1">
        <f>Table7[[#This Row],[NRPS]]</f>
        <v>1</v>
      </c>
      <c r="CX72" s="1">
        <f>SUM(CP72,CR72,CS72,Table7[[#This Row],[T1PKS, T3PKS]])</f>
        <v>1</v>
      </c>
      <c r="CY72" s="1">
        <f t="shared" si="1"/>
        <v>2</v>
      </c>
      <c r="CZ72" s="1">
        <f>Table7[[#This Row],[Terpene]]</f>
        <v>3</v>
      </c>
      <c r="DA72" s="1">
        <f>SUM(Table7[[#This Row],[Thiopeptide]],BH72,BF72,BE72,BC72,AZ72,AX72,AW72,AJ72,AH72,N72,L72,J72,H72,I72,K72,R72,Q72,Table7[[#This Row],[Cyanobactin, LAP]])</f>
        <v>2</v>
      </c>
      <c r="DB72" s="1">
        <f>SUM(CO72,CN72,CL72,CK72,CJ72,CI72,CH72,CF72,CE72,CD72,CB72,CA72,BZ72,BY72,BX72,BW72,BV72,BT72,BR72,BQ72,BP72,BO72,BM72,BK72,BJ72,BI72,BG72,BD72,BB72,BA72,AY72,AV72,AU72,AT72,AS72,AR72,AQ72,AP72,AO72,AN72,AM72,AL72,AK72,AG72,AF72,AE72,AD72,AC72,AB72,AA72,Z72,Y72,X72,W72,V72,U72,T72,S72,P72,O72,M72,Table7[[#This Row],[Acyl_amino_acids]],E72,F72,G72,)</f>
        <v>1</v>
      </c>
    </row>
    <row r="73" spans="1:106" x14ac:dyDescent="0.25">
      <c r="A73" s="9" t="s">
        <v>747</v>
      </c>
      <c r="B73" s="1" t="s">
        <v>435</v>
      </c>
      <c r="C73" s="1" t="s">
        <v>305</v>
      </c>
      <c r="D73" s="1" t="s">
        <v>192</v>
      </c>
      <c r="E73" s="3" t="s">
        <v>192</v>
      </c>
      <c r="F73" s="3" t="s">
        <v>192</v>
      </c>
      <c r="G73" s="3" t="s">
        <v>192</v>
      </c>
      <c r="H73" s="3">
        <v>2</v>
      </c>
      <c r="I73" s="3" t="s">
        <v>192</v>
      </c>
      <c r="J73" s="3" t="s">
        <v>192</v>
      </c>
      <c r="K73" s="3" t="s">
        <v>192</v>
      </c>
      <c r="L73" s="3" t="s">
        <v>192</v>
      </c>
      <c r="M73" s="3" t="s">
        <v>192</v>
      </c>
      <c r="N73" s="3" t="s">
        <v>192</v>
      </c>
      <c r="O73" s="3" t="s">
        <v>192</v>
      </c>
      <c r="P73" s="3" t="s">
        <v>192</v>
      </c>
      <c r="Q73" s="3" t="s">
        <v>192</v>
      </c>
      <c r="R73" s="3" t="s">
        <v>192</v>
      </c>
      <c r="S73" s="3" t="s">
        <v>192</v>
      </c>
      <c r="T73" s="3" t="s">
        <v>192</v>
      </c>
      <c r="U73" s="3" t="s">
        <v>192</v>
      </c>
      <c r="V73" s="3" t="s">
        <v>192</v>
      </c>
      <c r="W73" s="3" t="s">
        <v>192</v>
      </c>
      <c r="X73" s="3" t="s">
        <v>192</v>
      </c>
      <c r="Y73" s="3" t="s">
        <v>192</v>
      </c>
      <c r="Z73" s="3" t="s">
        <v>192</v>
      </c>
      <c r="AA73" s="3" t="s">
        <v>192</v>
      </c>
      <c r="AB73" s="3" t="s">
        <v>192</v>
      </c>
      <c r="AC73" s="3" t="s">
        <v>192</v>
      </c>
      <c r="AD73" s="3" t="s">
        <v>192</v>
      </c>
      <c r="AE73" s="3" t="s">
        <v>192</v>
      </c>
      <c r="AF73" s="3" t="s">
        <v>192</v>
      </c>
      <c r="AG73" s="3" t="s">
        <v>192</v>
      </c>
      <c r="AH73" s="3">
        <v>1</v>
      </c>
      <c r="AI73" s="3" t="s">
        <v>192</v>
      </c>
      <c r="AJ73" s="3" t="s">
        <v>192</v>
      </c>
      <c r="AK73" s="3" t="s">
        <v>192</v>
      </c>
      <c r="AL73" s="3" t="s">
        <v>192</v>
      </c>
      <c r="AM73" s="3" t="s">
        <v>192</v>
      </c>
      <c r="AN73" s="3" t="s">
        <v>192</v>
      </c>
      <c r="AO73" s="3">
        <v>1</v>
      </c>
      <c r="AP73" s="3" t="s">
        <v>192</v>
      </c>
      <c r="AQ73" s="3" t="s">
        <v>192</v>
      </c>
      <c r="AR73" s="3" t="s">
        <v>192</v>
      </c>
      <c r="AS73" s="3" t="s">
        <v>192</v>
      </c>
      <c r="AT73" s="3" t="s">
        <v>192</v>
      </c>
      <c r="AU73" s="3" t="s">
        <v>192</v>
      </c>
      <c r="AV73" s="3" t="s">
        <v>192</v>
      </c>
      <c r="AW73" s="3" t="s">
        <v>192</v>
      </c>
      <c r="AX73" s="3" t="s">
        <v>192</v>
      </c>
      <c r="AY73" s="3" t="s">
        <v>192</v>
      </c>
      <c r="AZ73" s="3" t="s">
        <v>192</v>
      </c>
      <c r="BA73" s="3" t="s">
        <v>192</v>
      </c>
      <c r="BB73" s="3" t="s">
        <v>192</v>
      </c>
      <c r="BC73" s="3" t="s">
        <v>192</v>
      </c>
      <c r="BD73" s="3" t="s">
        <v>192</v>
      </c>
      <c r="BE73" s="3" t="s">
        <v>192</v>
      </c>
      <c r="BF73" s="3">
        <v>1</v>
      </c>
      <c r="BG73" s="3" t="s">
        <v>192</v>
      </c>
      <c r="BH73" s="3" t="s">
        <v>192</v>
      </c>
      <c r="BI73" s="3" t="s">
        <v>192</v>
      </c>
      <c r="BJ73" s="3" t="s">
        <v>192</v>
      </c>
      <c r="BK73" s="3" t="s">
        <v>192</v>
      </c>
      <c r="BL73" s="3">
        <v>2</v>
      </c>
      <c r="BM73" s="3" t="s">
        <v>192</v>
      </c>
      <c r="BN73" s="3" t="s">
        <v>192</v>
      </c>
      <c r="BO73" s="3" t="s">
        <v>192</v>
      </c>
      <c r="BP73" s="3" t="s">
        <v>192</v>
      </c>
      <c r="BQ73" s="3" t="s">
        <v>192</v>
      </c>
      <c r="BR73" s="3" t="s">
        <v>192</v>
      </c>
      <c r="BS73" s="3">
        <v>1</v>
      </c>
      <c r="BT73" s="3" t="s">
        <v>192</v>
      </c>
      <c r="BU73" s="3">
        <v>1</v>
      </c>
      <c r="BV73" s="3" t="s">
        <v>192</v>
      </c>
      <c r="BW73" s="3" t="s">
        <v>192</v>
      </c>
      <c r="BX73" s="3" t="s">
        <v>192</v>
      </c>
      <c r="BY73" s="3" t="s">
        <v>192</v>
      </c>
      <c r="BZ73" s="3" t="s">
        <v>192</v>
      </c>
      <c r="CA73" s="3" t="s">
        <v>192</v>
      </c>
      <c r="CB73" s="3" t="s">
        <v>192</v>
      </c>
      <c r="CC73" s="3" t="s">
        <v>192</v>
      </c>
      <c r="CD73" s="3" t="s">
        <v>192</v>
      </c>
      <c r="CE73" s="3" t="s">
        <v>192</v>
      </c>
      <c r="CF73" s="3" t="s">
        <v>192</v>
      </c>
      <c r="CG73" s="3">
        <v>1</v>
      </c>
      <c r="CH73" s="3">
        <v>1</v>
      </c>
      <c r="CI73" s="3">
        <v>1</v>
      </c>
      <c r="CJ73" s="3" t="s">
        <v>192</v>
      </c>
      <c r="CK73" s="3" t="s">
        <v>192</v>
      </c>
      <c r="CL73" s="3" t="s">
        <v>192</v>
      </c>
      <c r="CM73" s="3" t="s">
        <v>192</v>
      </c>
      <c r="CN73" s="3" t="s">
        <v>192</v>
      </c>
      <c r="CO73" s="3" t="s">
        <v>192</v>
      </c>
      <c r="CP73" s="3" t="s">
        <v>192</v>
      </c>
      <c r="CQ73" s="3" t="s">
        <v>192</v>
      </c>
      <c r="CR73" s="3" t="s">
        <v>192</v>
      </c>
      <c r="CS73" s="3" t="s">
        <v>192</v>
      </c>
      <c r="CT73" s="1">
        <f>SUM(Table7[[#This Row],[Acyl_amino_acids]:[T3PKS]])</f>
        <v>12</v>
      </c>
      <c r="CU73" s="2" t="s">
        <v>527</v>
      </c>
      <c r="CW73" s="1">
        <f>Table7[[#This Row],[NRPS]]</f>
        <v>2</v>
      </c>
      <c r="CX73" s="1">
        <f>SUM(CP73,CR73,CS73,Table7[[#This Row],[T1PKS, T3PKS]])</f>
        <v>0</v>
      </c>
      <c r="CY73" s="1">
        <f t="shared" si="1"/>
        <v>2</v>
      </c>
      <c r="CZ73" s="1">
        <f>Table7[[#This Row],[Terpene]]</f>
        <v>1</v>
      </c>
      <c r="DA73" s="1">
        <f>SUM(Table7[[#This Row],[Thiopeptide]],BH73,BF73,BE73,BC73,AZ73,AX73,AW73,AJ73,AH73,N73,L73,J73,H73,I73,K73,R73,Q73,Table7[[#This Row],[Cyanobactin, LAP]])</f>
        <v>4</v>
      </c>
      <c r="DB73" s="1">
        <f>SUM(CO73,CN73,CL73,CK73,CJ73,CI73,CH73,CF73,CE73,CD73,CB73,CA73,BZ73,BY73,BX73,BW73,BV73,BT73,BR73,BQ73,BP73,BO73,BM73,BK73,BJ73,BI73,BG73,BD73,BB73,BA73,AY73,AV73,AU73,AT73,AS73,AR73,AQ73,AP73,AO73,AN73,AM73,AL73,AK73,AG73,AF73,AE73,AD73,AC73,AB73,AA73,Z73,Y73,X73,W73,V73,U73,T73,S73,P73,O73,M73,Table7[[#This Row],[Acyl_amino_acids]],E73,F73,G73,)</f>
        <v>3</v>
      </c>
    </row>
    <row r="74" spans="1:106" x14ac:dyDescent="0.25">
      <c r="A74" s="9" t="s">
        <v>789</v>
      </c>
      <c r="B74" s="1" t="s">
        <v>435</v>
      </c>
      <c r="C74" s="1" t="s">
        <v>306</v>
      </c>
      <c r="D74" s="3" t="s">
        <v>192</v>
      </c>
      <c r="E74" s="3" t="s">
        <v>192</v>
      </c>
      <c r="F74" s="3" t="s">
        <v>192</v>
      </c>
      <c r="G74" s="3" t="s">
        <v>192</v>
      </c>
      <c r="H74" s="3">
        <v>1</v>
      </c>
      <c r="I74" s="3" t="s">
        <v>192</v>
      </c>
      <c r="J74" s="3" t="s">
        <v>192</v>
      </c>
      <c r="K74" s="3" t="s">
        <v>192</v>
      </c>
      <c r="L74" s="3" t="s">
        <v>192</v>
      </c>
      <c r="M74" s="3" t="s">
        <v>192</v>
      </c>
      <c r="N74" s="3" t="s">
        <v>192</v>
      </c>
      <c r="O74" s="3" t="s">
        <v>192</v>
      </c>
      <c r="P74" s="3" t="s">
        <v>192</v>
      </c>
      <c r="Q74" s="3" t="s">
        <v>192</v>
      </c>
      <c r="R74" s="3" t="s">
        <v>192</v>
      </c>
      <c r="S74" s="3" t="s">
        <v>192</v>
      </c>
      <c r="T74" s="3" t="s">
        <v>192</v>
      </c>
      <c r="U74" s="3" t="s">
        <v>192</v>
      </c>
      <c r="V74" s="3" t="s">
        <v>192</v>
      </c>
      <c r="W74" s="3" t="s">
        <v>192</v>
      </c>
      <c r="X74" s="3" t="s">
        <v>192</v>
      </c>
      <c r="Y74" s="3" t="s">
        <v>192</v>
      </c>
      <c r="Z74" s="3" t="s">
        <v>192</v>
      </c>
      <c r="AA74" s="3" t="s">
        <v>192</v>
      </c>
      <c r="AB74" s="3" t="s">
        <v>192</v>
      </c>
      <c r="AC74" s="3" t="s">
        <v>192</v>
      </c>
      <c r="AD74" s="3" t="s">
        <v>192</v>
      </c>
      <c r="AE74" s="3" t="s">
        <v>192</v>
      </c>
      <c r="AF74" s="3" t="s">
        <v>192</v>
      </c>
      <c r="AG74" s="3" t="s">
        <v>192</v>
      </c>
      <c r="AH74" s="3">
        <v>1</v>
      </c>
      <c r="AI74" s="3" t="s">
        <v>192</v>
      </c>
      <c r="AJ74" s="3" t="s">
        <v>192</v>
      </c>
      <c r="AK74" s="3" t="s">
        <v>192</v>
      </c>
      <c r="AL74" s="3" t="s">
        <v>192</v>
      </c>
      <c r="AM74" s="3" t="s">
        <v>192</v>
      </c>
      <c r="AN74" s="3" t="s">
        <v>192</v>
      </c>
      <c r="AO74" s="3">
        <v>1</v>
      </c>
      <c r="AP74" s="3" t="s">
        <v>192</v>
      </c>
      <c r="AQ74" s="3" t="s">
        <v>192</v>
      </c>
      <c r="AR74" s="3" t="s">
        <v>192</v>
      </c>
      <c r="AS74" s="3" t="s">
        <v>192</v>
      </c>
      <c r="AT74" s="3" t="s">
        <v>192</v>
      </c>
      <c r="AU74" s="3" t="s">
        <v>192</v>
      </c>
      <c r="AV74" s="3" t="s">
        <v>192</v>
      </c>
      <c r="AW74" s="3" t="s">
        <v>192</v>
      </c>
      <c r="AX74" s="3" t="s">
        <v>192</v>
      </c>
      <c r="AY74" s="3" t="s">
        <v>192</v>
      </c>
      <c r="AZ74" s="3" t="s">
        <v>192</v>
      </c>
      <c r="BA74" s="3" t="s">
        <v>192</v>
      </c>
      <c r="BB74" s="3" t="s">
        <v>192</v>
      </c>
      <c r="BC74" s="3" t="s">
        <v>192</v>
      </c>
      <c r="BD74" s="3" t="s">
        <v>192</v>
      </c>
      <c r="BE74" s="3" t="s">
        <v>192</v>
      </c>
      <c r="BF74" s="3" t="s">
        <v>192</v>
      </c>
      <c r="BG74" s="3" t="s">
        <v>192</v>
      </c>
      <c r="BH74" s="3">
        <v>1</v>
      </c>
      <c r="BI74" s="3" t="s">
        <v>192</v>
      </c>
      <c r="BJ74" s="3" t="s">
        <v>192</v>
      </c>
      <c r="BK74" s="3" t="s">
        <v>192</v>
      </c>
      <c r="BL74" s="3">
        <v>1</v>
      </c>
      <c r="BM74" s="3" t="s">
        <v>192</v>
      </c>
      <c r="BN74" s="3" t="s">
        <v>192</v>
      </c>
      <c r="BO74" s="3" t="s">
        <v>192</v>
      </c>
      <c r="BP74" s="3" t="s">
        <v>192</v>
      </c>
      <c r="BQ74" s="3" t="s">
        <v>192</v>
      </c>
      <c r="BR74" s="3" t="s">
        <v>192</v>
      </c>
      <c r="BS74" s="3" t="s">
        <v>192</v>
      </c>
      <c r="BT74" s="3" t="s">
        <v>192</v>
      </c>
      <c r="BU74" s="3" t="s">
        <v>192</v>
      </c>
      <c r="BV74" s="3" t="s">
        <v>192</v>
      </c>
      <c r="BW74" s="3" t="s">
        <v>192</v>
      </c>
      <c r="BX74" s="3" t="s">
        <v>192</v>
      </c>
      <c r="BY74" s="3" t="s">
        <v>192</v>
      </c>
      <c r="BZ74" s="3" t="s">
        <v>192</v>
      </c>
      <c r="CA74" s="3" t="s">
        <v>192</v>
      </c>
      <c r="CB74" s="3" t="s">
        <v>192</v>
      </c>
      <c r="CC74" s="3" t="s">
        <v>192</v>
      </c>
      <c r="CD74" s="3" t="s">
        <v>192</v>
      </c>
      <c r="CE74" s="3" t="s">
        <v>192</v>
      </c>
      <c r="CF74" s="3" t="s">
        <v>192</v>
      </c>
      <c r="CG74" s="3">
        <v>2</v>
      </c>
      <c r="CH74" s="3" t="s">
        <v>192</v>
      </c>
      <c r="CI74" s="3">
        <v>1</v>
      </c>
      <c r="CJ74" s="3" t="s">
        <v>192</v>
      </c>
      <c r="CK74" s="3" t="s">
        <v>192</v>
      </c>
      <c r="CL74" s="3" t="s">
        <v>192</v>
      </c>
      <c r="CM74" s="3" t="s">
        <v>192</v>
      </c>
      <c r="CN74" s="3" t="s">
        <v>192</v>
      </c>
      <c r="CO74" s="3" t="s">
        <v>192</v>
      </c>
      <c r="CP74" s="3" t="s">
        <v>192</v>
      </c>
      <c r="CQ74" s="3" t="s">
        <v>192</v>
      </c>
      <c r="CR74" s="3" t="s">
        <v>192</v>
      </c>
      <c r="CS74" s="3">
        <v>1</v>
      </c>
      <c r="CT74" s="1">
        <f>SUM(Table7[[#This Row],[Acyl_amino_acids]:[T3PKS]])</f>
        <v>9</v>
      </c>
      <c r="CU74" s="3" t="s">
        <v>299</v>
      </c>
      <c r="CW74" s="1">
        <f>Table7[[#This Row],[NRPS]]</f>
        <v>1</v>
      </c>
      <c r="CX74" s="1">
        <f>SUM(CP74,CR74,CS74,Table7[[#This Row],[T1PKS, T3PKS]])</f>
        <v>1</v>
      </c>
      <c r="CY74" s="1">
        <f t="shared" si="1"/>
        <v>0</v>
      </c>
      <c r="CZ74" s="1">
        <f>Table7[[#This Row],[Terpene]]</f>
        <v>2</v>
      </c>
      <c r="DA74" s="1">
        <f>SUM(Table7[[#This Row],[Thiopeptide]],BH74,BF74,BE74,BC74,AZ74,AX74,AW74,AJ74,AH74,N74,L74,J74,H74,I74,K74,R74,Q74,Table7[[#This Row],[Cyanobactin, LAP]])</f>
        <v>3</v>
      </c>
      <c r="DB74" s="1">
        <f>SUM(CO74,CN74,CL74,CK74,CJ74,CI74,CH74,CF74,CE74,CD74,CB74,CA74,BZ74,BY74,BX74,BW74,BV74,BT74,BR74,BQ74,BP74,BO74,BM74,BK74,BJ74,BI74,BG74,BD74,BB74,BA74,AY74,AV74,AU74,AT74,AS74,AR74,AQ74,AP74,AO74,AN74,AM74,AL74,AK74,AG74,AF74,AE74,AD74,AC74,AB74,AA74,Z74,Y74,X74,W74,V74,U74,T74,S74,P74,O74,M74,Table7[[#This Row],[Acyl_amino_acids]],E74,F74,G74,)</f>
        <v>2</v>
      </c>
    </row>
    <row r="75" spans="1:106" x14ac:dyDescent="0.25">
      <c r="A75" s="9" t="s">
        <v>794</v>
      </c>
      <c r="B75" s="1" t="s">
        <v>435</v>
      </c>
      <c r="C75" s="1" t="s">
        <v>307</v>
      </c>
      <c r="D75" s="3" t="s">
        <v>192</v>
      </c>
      <c r="E75" s="3" t="s">
        <v>192</v>
      </c>
      <c r="F75" s="3" t="s">
        <v>192</v>
      </c>
      <c r="G75" s="3" t="s">
        <v>192</v>
      </c>
      <c r="H75" s="3">
        <v>1</v>
      </c>
      <c r="I75" s="3" t="s">
        <v>192</v>
      </c>
      <c r="J75" s="3" t="s">
        <v>192</v>
      </c>
      <c r="K75" s="3" t="s">
        <v>192</v>
      </c>
      <c r="L75" s="3" t="s">
        <v>192</v>
      </c>
      <c r="M75" s="3" t="s">
        <v>192</v>
      </c>
      <c r="N75" s="3" t="s">
        <v>192</v>
      </c>
      <c r="O75" s="3" t="s">
        <v>192</v>
      </c>
      <c r="P75" s="3" t="s">
        <v>192</v>
      </c>
      <c r="Q75" s="3" t="s">
        <v>192</v>
      </c>
      <c r="R75" s="3" t="s">
        <v>192</v>
      </c>
      <c r="S75" s="3" t="s">
        <v>192</v>
      </c>
      <c r="T75" s="3" t="s">
        <v>192</v>
      </c>
      <c r="U75" s="3" t="s">
        <v>192</v>
      </c>
      <c r="V75" s="3" t="s">
        <v>192</v>
      </c>
      <c r="W75" s="3" t="s">
        <v>192</v>
      </c>
      <c r="X75" s="3" t="s">
        <v>192</v>
      </c>
      <c r="Y75" s="3">
        <v>1</v>
      </c>
      <c r="Z75" s="3" t="s">
        <v>192</v>
      </c>
      <c r="AA75" s="3" t="s">
        <v>192</v>
      </c>
      <c r="AB75" s="3" t="s">
        <v>192</v>
      </c>
      <c r="AC75" s="3" t="s">
        <v>192</v>
      </c>
      <c r="AD75" s="3" t="s">
        <v>192</v>
      </c>
      <c r="AE75" s="3" t="s">
        <v>192</v>
      </c>
      <c r="AF75" s="3" t="s">
        <v>192</v>
      </c>
      <c r="AG75" s="3" t="s">
        <v>192</v>
      </c>
      <c r="AH75" s="3">
        <v>1</v>
      </c>
      <c r="AI75" s="3" t="s">
        <v>192</v>
      </c>
      <c r="AJ75" s="3" t="s">
        <v>192</v>
      </c>
      <c r="AK75" s="3" t="s">
        <v>192</v>
      </c>
      <c r="AL75" s="3" t="s">
        <v>192</v>
      </c>
      <c r="AM75" s="3" t="s">
        <v>192</v>
      </c>
      <c r="AN75" s="3" t="s">
        <v>192</v>
      </c>
      <c r="AO75" s="3" t="s">
        <v>192</v>
      </c>
      <c r="AP75" s="3" t="s">
        <v>192</v>
      </c>
      <c r="AQ75" s="3" t="s">
        <v>192</v>
      </c>
      <c r="AR75" s="3" t="s">
        <v>192</v>
      </c>
      <c r="AS75" s="3" t="s">
        <v>192</v>
      </c>
      <c r="AT75" s="3" t="s">
        <v>192</v>
      </c>
      <c r="AU75" s="3" t="s">
        <v>192</v>
      </c>
      <c r="AV75" s="3" t="s">
        <v>192</v>
      </c>
      <c r="AW75" s="3" t="s">
        <v>192</v>
      </c>
      <c r="AX75" s="3" t="s">
        <v>192</v>
      </c>
      <c r="AY75" s="3" t="s">
        <v>192</v>
      </c>
      <c r="AZ75" s="3" t="s">
        <v>192</v>
      </c>
      <c r="BA75" s="3" t="s">
        <v>192</v>
      </c>
      <c r="BB75" s="3" t="s">
        <v>192</v>
      </c>
      <c r="BC75" s="3" t="s">
        <v>192</v>
      </c>
      <c r="BD75" s="3" t="s">
        <v>192</v>
      </c>
      <c r="BE75" s="3" t="s">
        <v>192</v>
      </c>
      <c r="BF75" s="3" t="s">
        <v>192</v>
      </c>
      <c r="BG75" s="3" t="s">
        <v>192</v>
      </c>
      <c r="BH75" s="3">
        <v>1</v>
      </c>
      <c r="BI75" s="3">
        <v>1</v>
      </c>
      <c r="BJ75" s="3" t="s">
        <v>192</v>
      </c>
      <c r="BK75" s="3" t="s">
        <v>192</v>
      </c>
      <c r="BL75" s="3">
        <v>1</v>
      </c>
      <c r="BM75" s="3" t="s">
        <v>192</v>
      </c>
      <c r="BN75" s="3" t="s">
        <v>192</v>
      </c>
      <c r="BO75" s="3" t="s">
        <v>192</v>
      </c>
      <c r="BP75" s="3" t="s">
        <v>192</v>
      </c>
      <c r="BQ75" s="3" t="s">
        <v>192</v>
      </c>
      <c r="BR75" s="3" t="s">
        <v>192</v>
      </c>
      <c r="BS75" s="3">
        <v>2</v>
      </c>
      <c r="BT75" s="3" t="s">
        <v>192</v>
      </c>
      <c r="BU75" s="3" t="s">
        <v>192</v>
      </c>
      <c r="BV75" s="3" t="s">
        <v>192</v>
      </c>
      <c r="BW75" s="3" t="s">
        <v>192</v>
      </c>
      <c r="BX75" s="3" t="s">
        <v>192</v>
      </c>
      <c r="BY75" s="3" t="s">
        <v>192</v>
      </c>
      <c r="BZ75" s="3" t="s">
        <v>192</v>
      </c>
      <c r="CA75" s="3" t="s">
        <v>192</v>
      </c>
      <c r="CB75" s="3" t="s">
        <v>192</v>
      </c>
      <c r="CC75" s="3" t="s">
        <v>192</v>
      </c>
      <c r="CD75" s="3" t="s">
        <v>192</v>
      </c>
      <c r="CE75" s="3" t="s">
        <v>192</v>
      </c>
      <c r="CF75" s="3" t="s">
        <v>192</v>
      </c>
      <c r="CG75" s="3">
        <v>2</v>
      </c>
      <c r="CH75" s="3" t="s">
        <v>192</v>
      </c>
      <c r="CI75" s="3">
        <v>1</v>
      </c>
      <c r="CJ75" s="3" t="s">
        <v>192</v>
      </c>
      <c r="CK75" s="3" t="s">
        <v>192</v>
      </c>
      <c r="CL75" s="3" t="s">
        <v>192</v>
      </c>
      <c r="CM75" s="3" t="s">
        <v>192</v>
      </c>
      <c r="CN75" s="3" t="s">
        <v>192</v>
      </c>
      <c r="CO75" s="3" t="s">
        <v>192</v>
      </c>
      <c r="CP75" s="3" t="s">
        <v>192</v>
      </c>
      <c r="CQ75" s="3" t="s">
        <v>192</v>
      </c>
      <c r="CR75" s="3" t="s">
        <v>192</v>
      </c>
      <c r="CS75" s="3" t="s">
        <v>192</v>
      </c>
      <c r="CT75" s="1">
        <f>SUM(Table7[[#This Row],[Acyl_amino_acids]:[T3PKS]])</f>
        <v>11</v>
      </c>
      <c r="CU75" s="2" t="s">
        <v>594</v>
      </c>
      <c r="CW75" s="1">
        <f>Table7[[#This Row],[NRPS]]</f>
        <v>1</v>
      </c>
      <c r="CX75" s="1">
        <f>SUM(CP75,CR75,CS75,Table7[[#This Row],[T1PKS, T3PKS]])</f>
        <v>0</v>
      </c>
      <c r="CY75" s="1">
        <f t="shared" si="1"/>
        <v>2</v>
      </c>
      <c r="CZ75" s="1">
        <f>Table7[[#This Row],[Terpene]]</f>
        <v>2</v>
      </c>
      <c r="DA75" s="1">
        <f>SUM(Table7[[#This Row],[Thiopeptide]],BH75,BF75,BE75,BC75,AZ75,AX75,AW75,AJ75,AH75,N75,L75,J75,H75,I75,K75,R75,Q75,Table7[[#This Row],[Cyanobactin, LAP]])</f>
        <v>3</v>
      </c>
      <c r="DB75" s="1">
        <f>SUM(CO75,CN75,CL75,CK75,CJ75,CI75,CH75,CF75,CE75,CD75,CB75,CA75,BZ75,BY75,BX75,BW75,BV75,BT75,BR75,BQ75,BP75,BO75,BM75,BK75,BJ75,BI75,BG75,BD75,BB75,BA75,AY75,AV75,AU75,AT75,AS75,AR75,AQ75,AP75,AO75,AN75,AM75,AL75,AK75,AG75,AF75,AE75,AD75,AC75,AB75,AA75,Z75,Y75,X75,W75,V75,U75,T75,S75,P75,O75,M75,Table7[[#This Row],[Acyl_amino_acids]],E75,F75,G75,)</f>
        <v>3</v>
      </c>
    </row>
    <row r="76" spans="1:106" x14ac:dyDescent="0.25">
      <c r="A76" s="9" t="s">
        <v>759</v>
      </c>
      <c r="B76" s="1" t="s">
        <v>435</v>
      </c>
      <c r="C76" s="1" t="s">
        <v>541</v>
      </c>
      <c r="D76" s="1" t="s">
        <v>192</v>
      </c>
      <c r="E76" s="3" t="s">
        <v>192</v>
      </c>
      <c r="F76" s="3" t="s">
        <v>192</v>
      </c>
      <c r="G76" s="3" t="s">
        <v>192</v>
      </c>
      <c r="H76" s="3">
        <v>6</v>
      </c>
      <c r="I76" s="3">
        <v>1</v>
      </c>
      <c r="J76" s="3" t="s">
        <v>192</v>
      </c>
      <c r="K76" s="3" t="s">
        <v>192</v>
      </c>
      <c r="L76" s="3" t="s">
        <v>192</v>
      </c>
      <c r="M76" s="3" t="s">
        <v>192</v>
      </c>
      <c r="N76" s="3" t="s">
        <v>192</v>
      </c>
      <c r="O76" s="3" t="s">
        <v>192</v>
      </c>
      <c r="P76" s="3" t="s">
        <v>192</v>
      </c>
      <c r="Q76" s="3" t="s">
        <v>192</v>
      </c>
      <c r="R76" s="3" t="s">
        <v>192</v>
      </c>
      <c r="S76" s="3" t="s">
        <v>192</v>
      </c>
      <c r="T76" s="3" t="s">
        <v>192</v>
      </c>
      <c r="U76" s="3" t="s">
        <v>192</v>
      </c>
      <c r="V76" s="3" t="s">
        <v>192</v>
      </c>
      <c r="W76" s="3" t="s">
        <v>192</v>
      </c>
      <c r="X76" s="3" t="s">
        <v>192</v>
      </c>
      <c r="Y76" s="3" t="s">
        <v>192</v>
      </c>
      <c r="Z76" s="3" t="s">
        <v>192</v>
      </c>
      <c r="AA76" s="3" t="s">
        <v>192</v>
      </c>
      <c r="AB76" s="3" t="s">
        <v>192</v>
      </c>
      <c r="AC76" s="3" t="s">
        <v>192</v>
      </c>
      <c r="AD76" s="3" t="s">
        <v>192</v>
      </c>
      <c r="AE76" s="3" t="s">
        <v>192</v>
      </c>
      <c r="AF76" s="3" t="s">
        <v>192</v>
      </c>
      <c r="AG76" s="3">
        <v>1</v>
      </c>
      <c r="AH76" s="3">
        <v>1</v>
      </c>
      <c r="AI76" s="3" t="s">
        <v>192</v>
      </c>
      <c r="AJ76" s="3">
        <v>1</v>
      </c>
      <c r="AK76" s="3" t="s">
        <v>192</v>
      </c>
      <c r="AL76" s="3" t="s">
        <v>192</v>
      </c>
      <c r="AM76" s="3" t="s">
        <v>192</v>
      </c>
      <c r="AN76" s="3" t="s">
        <v>192</v>
      </c>
      <c r="AO76" s="3">
        <v>1</v>
      </c>
      <c r="AP76" s="3">
        <v>1</v>
      </c>
      <c r="AQ76" s="3" t="s">
        <v>192</v>
      </c>
      <c r="AR76" s="3" t="s">
        <v>192</v>
      </c>
      <c r="AS76" s="3">
        <v>1</v>
      </c>
      <c r="AT76" s="3" t="s">
        <v>192</v>
      </c>
      <c r="AU76" s="3" t="s">
        <v>192</v>
      </c>
      <c r="AV76" s="3" t="s">
        <v>192</v>
      </c>
      <c r="AW76" s="3" t="s">
        <v>192</v>
      </c>
      <c r="AX76" s="3" t="s">
        <v>192</v>
      </c>
      <c r="AY76" s="3" t="s">
        <v>192</v>
      </c>
      <c r="AZ76" s="3">
        <v>1</v>
      </c>
      <c r="BA76" s="3" t="s">
        <v>192</v>
      </c>
      <c r="BB76" s="3" t="s">
        <v>192</v>
      </c>
      <c r="BC76" s="3" t="s">
        <v>192</v>
      </c>
      <c r="BD76" s="3" t="s">
        <v>192</v>
      </c>
      <c r="BE76" s="3" t="s">
        <v>192</v>
      </c>
      <c r="BF76" s="3" t="s">
        <v>192</v>
      </c>
      <c r="BG76" s="3" t="s">
        <v>192</v>
      </c>
      <c r="BH76" s="3">
        <v>1</v>
      </c>
      <c r="BI76" s="3" t="s">
        <v>192</v>
      </c>
      <c r="BJ76" s="3" t="s">
        <v>192</v>
      </c>
      <c r="BK76" s="3" t="s">
        <v>192</v>
      </c>
      <c r="BL76" s="3">
        <v>14</v>
      </c>
      <c r="BM76" s="3" t="s">
        <v>192</v>
      </c>
      <c r="BN76" s="3">
        <v>1</v>
      </c>
      <c r="BO76" s="3" t="s">
        <v>192</v>
      </c>
      <c r="BP76" s="3" t="s">
        <v>192</v>
      </c>
      <c r="BQ76" s="3" t="s">
        <v>192</v>
      </c>
      <c r="BR76" s="3" t="s">
        <v>192</v>
      </c>
      <c r="BS76" s="3">
        <v>5</v>
      </c>
      <c r="BT76" s="3" t="s">
        <v>192</v>
      </c>
      <c r="BU76" s="3" t="s">
        <v>192</v>
      </c>
      <c r="BV76" s="3" t="s">
        <v>192</v>
      </c>
      <c r="BW76" s="3" t="s">
        <v>192</v>
      </c>
      <c r="BX76" s="3" t="s">
        <v>192</v>
      </c>
      <c r="BY76" s="3">
        <v>1</v>
      </c>
      <c r="BZ76" s="3" t="s">
        <v>192</v>
      </c>
      <c r="CA76" s="3">
        <v>1</v>
      </c>
      <c r="CB76" s="3" t="s">
        <v>192</v>
      </c>
      <c r="CC76" s="3" t="s">
        <v>192</v>
      </c>
      <c r="CD76" s="3" t="s">
        <v>192</v>
      </c>
      <c r="CE76" s="3" t="s">
        <v>192</v>
      </c>
      <c r="CF76" s="3" t="s">
        <v>192</v>
      </c>
      <c r="CG76" s="3">
        <v>5</v>
      </c>
      <c r="CH76" s="3" t="s">
        <v>192</v>
      </c>
      <c r="CI76" s="3" t="s">
        <v>192</v>
      </c>
      <c r="CJ76" s="3" t="s">
        <v>192</v>
      </c>
      <c r="CK76" s="3" t="s">
        <v>192</v>
      </c>
      <c r="CL76" s="3" t="s">
        <v>192</v>
      </c>
      <c r="CM76" s="3" t="s">
        <v>192</v>
      </c>
      <c r="CN76" s="3" t="s">
        <v>192</v>
      </c>
      <c r="CO76" s="3" t="s">
        <v>192</v>
      </c>
      <c r="CP76" s="3" t="s">
        <v>192</v>
      </c>
      <c r="CQ76" s="3" t="s">
        <v>192</v>
      </c>
      <c r="CR76" s="3" t="s">
        <v>192</v>
      </c>
      <c r="CS76" s="3" t="s">
        <v>192</v>
      </c>
      <c r="CT76" s="1">
        <f>SUM(Table7[[#This Row],[Acyl_amino_acids]:[T3PKS]])</f>
        <v>42</v>
      </c>
      <c r="CU76" s="2" t="s">
        <v>542</v>
      </c>
      <c r="CW76" s="1">
        <f>Table7[[#This Row],[NRPS]]</f>
        <v>14</v>
      </c>
      <c r="CX76" s="1">
        <f>SUM(CP76,CR76,CS76,Table7[[#This Row],[T1PKS, T3PKS]])</f>
        <v>0</v>
      </c>
      <c r="CY76" s="1">
        <f t="shared" si="1"/>
        <v>6</v>
      </c>
      <c r="CZ76" s="1">
        <f>Table7[[#This Row],[Terpene]]</f>
        <v>5</v>
      </c>
      <c r="DA76" s="1">
        <f>SUM(Table7[[#This Row],[Thiopeptide]],BH76,BF76,BE76,BC76,AZ76,AX76,AW76,AJ76,AH76,N76,L76,J76,H76,I76,K76,R76,Q76,Table7[[#This Row],[Cyanobactin, LAP]])</f>
        <v>11</v>
      </c>
      <c r="DB76" s="1">
        <f>SUM(CO76,CN76,CL76,CK76,CJ76,CI76,CH76,CF76,CE76,CD76,CB76,CA76,BZ76,BY76,BX76,BW76,BV76,BT76,BR76,BQ76,BP76,BO76,BM76,BK76,BJ76,BI76,BG76,BD76,BB76,BA76,AY76,AV76,AU76,AT76,AS76,AR76,AQ76,AP76,AO76,AN76,AM76,AL76,AK76,AG76,AF76,AE76,AD76,AC76,AB76,AA76,Z76,Y76,X76,W76,V76,U76,T76,S76,P76,O76,M76,Table7[[#This Row],[Acyl_amino_acids]],E76,F76,G76,)</f>
        <v>6</v>
      </c>
    </row>
    <row r="77" spans="1:106" x14ac:dyDescent="0.25">
      <c r="A77" s="9" t="s">
        <v>758</v>
      </c>
      <c r="B77" s="1" t="s">
        <v>435</v>
      </c>
      <c r="C77" s="1" t="s">
        <v>308</v>
      </c>
      <c r="D77" s="1" t="s">
        <v>192</v>
      </c>
      <c r="E77" s="3" t="s">
        <v>192</v>
      </c>
      <c r="F77" s="3" t="s">
        <v>192</v>
      </c>
      <c r="G77" s="3" t="s">
        <v>192</v>
      </c>
      <c r="H77" s="3">
        <v>5</v>
      </c>
      <c r="I77" s="3" t="s">
        <v>192</v>
      </c>
      <c r="J77" s="3" t="s">
        <v>192</v>
      </c>
      <c r="K77" s="3" t="s">
        <v>192</v>
      </c>
      <c r="L77" s="3">
        <v>1</v>
      </c>
      <c r="M77" s="3" t="s">
        <v>192</v>
      </c>
      <c r="N77" s="3" t="s">
        <v>192</v>
      </c>
      <c r="O77" s="3" t="s">
        <v>192</v>
      </c>
      <c r="P77" s="3" t="s">
        <v>192</v>
      </c>
      <c r="Q77" s="3" t="s">
        <v>192</v>
      </c>
      <c r="R77" s="3" t="s">
        <v>192</v>
      </c>
      <c r="S77" s="3">
        <v>1</v>
      </c>
      <c r="T77" s="3" t="s">
        <v>192</v>
      </c>
      <c r="U77" s="3" t="s">
        <v>192</v>
      </c>
      <c r="V77" s="3" t="s">
        <v>192</v>
      </c>
      <c r="W77" s="3" t="s">
        <v>192</v>
      </c>
      <c r="X77" s="3" t="s">
        <v>192</v>
      </c>
      <c r="Y77" s="3" t="s">
        <v>192</v>
      </c>
      <c r="Z77" s="3" t="s">
        <v>192</v>
      </c>
      <c r="AA77" s="3" t="s">
        <v>192</v>
      </c>
      <c r="AB77" s="3">
        <v>1</v>
      </c>
      <c r="AC77" s="3" t="s">
        <v>192</v>
      </c>
      <c r="AD77" s="3" t="s">
        <v>192</v>
      </c>
      <c r="AE77" s="3" t="s">
        <v>192</v>
      </c>
      <c r="AF77" s="3">
        <v>1</v>
      </c>
      <c r="AG77" s="3" t="s">
        <v>192</v>
      </c>
      <c r="AH77" s="3">
        <v>3</v>
      </c>
      <c r="AI77" s="3" t="s">
        <v>192</v>
      </c>
      <c r="AJ77" s="3" t="s">
        <v>192</v>
      </c>
      <c r="AK77" s="3" t="s">
        <v>192</v>
      </c>
      <c r="AL77" s="3" t="s">
        <v>192</v>
      </c>
      <c r="AM77" s="3" t="s">
        <v>192</v>
      </c>
      <c r="AN77" s="3" t="s">
        <v>192</v>
      </c>
      <c r="AO77" s="3" t="s">
        <v>192</v>
      </c>
      <c r="AP77" s="3">
        <v>1</v>
      </c>
      <c r="AQ77" s="3" t="s">
        <v>192</v>
      </c>
      <c r="AR77" s="3" t="s">
        <v>192</v>
      </c>
      <c r="AS77" s="3">
        <v>1</v>
      </c>
      <c r="AT77" s="3" t="s">
        <v>192</v>
      </c>
      <c r="AU77" s="3" t="s">
        <v>192</v>
      </c>
      <c r="AV77" s="3" t="s">
        <v>192</v>
      </c>
      <c r="AW77" s="3" t="s">
        <v>192</v>
      </c>
      <c r="AX77" s="3" t="s">
        <v>192</v>
      </c>
      <c r="AY77" s="3" t="s">
        <v>192</v>
      </c>
      <c r="AZ77" s="3">
        <v>1</v>
      </c>
      <c r="BA77" s="3" t="s">
        <v>192</v>
      </c>
      <c r="BB77" s="3" t="s">
        <v>192</v>
      </c>
      <c r="BC77" s="3" t="s">
        <v>192</v>
      </c>
      <c r="BD77" s="3" t="s">
        <v>192</v>
      </c>
      <c r="BE77" s="3" t="s">
        <v>192</v>
      </c>
      <c r="BF77" s="3">
        <v>2</v>
      </c>
      <c r="BG77" s="3">
        <v>1</v>
      </c>
      <c r="BH77" s="3">
        <v>2</v>
      </c>
      <c r="BI77" s="3" t="s">
        <v>192</v>
      </c>
      <c r="BJ77" s="3" t="s">
        <v>192</v>
      </c>
      <c r="BK77" s="3" t="s">
        <v>192</v>
      </c>
      <c r="BL77" s="3">
        <v>5</v>
      </c>
      <c r="BM77" s="3" t="s">
        <v>192</v>
      </c>
      <c r="BN77" s="3">
        <v>1</v>
      </c>
      <c r="BO77" s="3" t="s">
        <v>192</v>
      </c>
      <c r="BP77" s="3" t="s">
        <v>192</v>
      </c>
      <c r="BQ77" s="3" t="s">
        <v>192</v>
      </c>
      <c r="BR77" s="3" t="s">
        <v>192</v>
      </c>
      <c r="BS77" s="3">
        <v>8</v>
      </c>
      <c r="BT77" s="3" t="s">
        <v>192</v>
      </c>
      <c r="BU77" s="3" t="s">
        <v>192</v>
      </c>
      <c r="BV77" s="3" t="s">
        <v>192</v>
      </c>
      <c r="BW77" s="3" t="s">
        <v>192</v>
      </c>
      <c r="BX77" s="3" t="s">
        <v>192</v>
      </c>
      <c r="BY77" s="3" t="s">
        <v>192</v>
      </c>
      <c r="BZ77" s="3" t="s">
        <v>192</v>
      </c>
      <c r="CA77" s="3">
        <v>1</v>
      </c>
      <c r="CB77" s="3" t="s">
        <v>192</v>
      </c>
      <c r="CC77" s="3" t="s">
        <v>192</v>
      </c>
      <c r="CD77" s="3" t="s">
        <v>192</v>
      </c>
      <c r="CE77" s="3" t="s">
        <v>192</v>
      </c>
      <c r="CF77" s="3" t="s">
        <v>192</v>
      </c>
      <c r="CG77" s="3">
        <v>4</v>
      </c>
      <c r="CH77" s="3" t="s">
        <v>192</v>
      </c>
      <c r="CI77" s="3" t="s">
        <v>192</v>
      </c>
      <c r="CJ77" s="3" t="s">
        <v>192</v>
      </c>
      <c r="CK77" s="3" t="s">
        <v>192</v>
      </c>
      <c r="CL77" s="3" t="s">
        <v>192</v>
      </c>
      <c r="CM77" s="3" t="s">
        <v>192</v>
      </c>
      <c r="CN77" s="3" t="s">
        <v>192</v>
      </c>
      <c r="CO77" s="3" t="s">
        <v>192</v>
      </c>
      <c r="CP77" s="3">
        <v>2</v>
      </c>
      <c r="CQ77" s="3" t="s">
        <v>192</v>
      </c>
      <c r="CR77" s="3" t="s">
        <v>192</v>
      </c>
      <c r="CS77" s="3">
        <v>1</v>
      </c>
      <c r="CT77" s="1">
        <f>SUM(Table7[[#This Row],[Acyl_amino_acids]:[T3PKS]])</f>
        <v>42</v>
      </c>
      <c r="CU77" s="3" t="s">
        <v>192</v>
      </c>
      <c r="CW77" s="1">
        <f>Table7[[#This Row],[NRPS]]</f>
        <v>5</v>
      </c>
      <c r="CX77" s="1">
        <f>SUM(CP77,CR77,CS77,Table7[[#This Row],[T1PKS, T3PKS]])</f>
        <v>3</v>
      </c>
      <c r="CY77" s="1">
        <f t="shared" si="1"/>
        <v>9</v>
      </c>
      <c r="CZ77" s="1">
        <f>Table7[[#This Row],[Terpene]]</f>
        <v>4</v>
      </c>
      <c r="DA77" s="1">
        <f>SUM(Table7[[#This Row],[Thiopeptide]],BH77,BF77,BE77,BC77,AZ77,AX77,AW77,AJ77,AH77,N77,L77,J77,H77,I77,K77,R77,Q77,Table7[[#This Row],[Cyanobactin, LAP]])</f>
        <v>14</v>
      </c>
      <c r="DB77" s="1">
        <f>SUM(CO77,CN77,CL77,CK77,CJ77,CI77,CH77,CF77,CE77,CD77,CB77,CA77,BZ77,BY77,BX77,BW77,BV77,BT77,BR77,BQ77,BP77,BO77,BM77,BK77,BJ77,BI77,BG77,BD77,BB77,BA77,AY77,AV77,AU77,AT77,AS77,AR77,AQ77,AP77,AO77,AN77,AM77,AL77,AK77,AG77,AF77,AE77,AD77,AC77,AB77,AA77,Z77,Y77,X77,W77,V77,U77,T77,S77,P77,O77,M77,Table7[[#This Row],[Acyl_amino_acids]],E77,F77,G77,)</f>
        <v>7</v>
      </c>
    </row>
    <row r="78" spans="1:106" x14ac:dyDescent="0.25">
      <c r="A78" s="9" t="s">
        <v>730</v>
      </c>
      <c r="B78" s="1" t="s">
        <v>435</v>
      </c>
      <c r="C78" s="1" t="s">
        <v>310</v>
      </c>
      <c r="D78" s="1" t="s">
        <v>192</v>
      </c>
      <c r="E78" s="3" t="s">
        <v>192</v>
      </c>
      <c r="F78" s="3" t="s">
        <v>192</v>
      </c>
      <c r="G78" s="3" t="s">
        <v>192</v>
      </c>
      <c r="H78" s="3">
        <v>1</v>
      </c>
      <c r="I78" s="3" t="s">
        <v>192</v>
      </c>
      <c r="J78" s="3" t="s">
        <v>192</v>
      </c>
      <c r="K78" s="3" t="s">
        <v>192</v>
      </c>
      <c r="L78" s="3" t="s">
        <v>192</v>
      </c>
      <c r="M78" s="3" t="s">
        <v>192</v>
      </c>
      <c r="N78" s="3" t="s">
        <v>192</v>
      </c>
      <c r="O78" s="3" t="s">
        <v>192</v>
      </c>
      <c r="P78" s="3" t="s">
        <v>192</v>
      </c>
      <c r="Q78" s="3" t="s">
        <v>192</v>
      </c>
      <c r="R78" s="3" t="s">
        <v>192</v>
      </c>
      <c r="S78" s="3" t="s">
        <v>192</v>
      </c>
      <c r="T78" s="3" t="s">
        <v>192</v>
      </c>
      <c r="U78" s="3" t="s">
        <v>192</v>
      </c>
      <c r="V78" s="3" t="s">
        <v>192</v>
      </c>
      <c r="W78" s="3" t="s">
        <v>192</v>
      </c>
      <c r="X78" s="3" t="s">
        <v>192</v>
      </c>
      <c r="Y78" s="3" t="s">
        <v>192</v>
      </c>
      <c r="Z78" s="3" t="s">
        <v>192</v>
      </c>
      <c r="AA78" s="3">
        <v>1</v>
      </c>
      <c r="AB78" s="3" t="s">
        <v>192</v>
      </c>
      <c r="AC78" s="3" t="s">
        <v>192</v>
      </c>
      <c r="AD78" s="3" t="s">
        <v>192</v>
      </c>
      <c r="AE78" s="3" t="s">
        <v>192</v>
      </c>
      <c r="AF78" s="3" t="s">
        <v>192</v>
      </c>
      <c r="AG78" s="3" t="s">
        <v>192</v>
      </c>
      <c r="AH78" s="3">
        <v>2</v>
      </c>
      <c r="AI78" s="3" t="s">
        <v>192</v>
      </c>
      <c r="AJ78" s="3" t="s">
        <v>192</v>
      </c>
      <c r="AK78" s="3" t="s">
        <v>192</v>
      </c>
      <c r="AL78" s="3">
        <v>1</v>
      </c>
      <c r="AM78" s="3" t="s">
        <v>192</v>
      </c>
      <c r="AN78" s="3" t="s">
        <v>192</v>
      </c>
      <c r="AO78" s="3" t="s">
        <v>192</v>
      </c>
      <c r="AP78" s="3" t="s">
        <v>192</v>
      </c>
      <c r="AQ78" s="3">
        <v>1</v>
      </c>
      <c r="AR78" s="3" t="s">
        <v>192</v>
      </c>
      <c r="AS78" s="3" t="s">
        <v>192</v>
      </c>
      <c r="AT78" s="3" t="s">
        <v>192</v>
      </c>
      <c r="AU78" s="3" t="s">
        <v>192</v>
      </c>
      <c r="AV78" s="3" t="s">
        <v>192</v>
      </c>
      <c r="AW78" s="3" t="s">
        <v>192</v>
      </c>
      <c r="AX78" s="3" t="s">
        <v>192</v>
      </c>
      <c r="AY78" s="3" t="s">
        <v>192</v>
      </c>
      <c r="AZ78" s="3" t="s">
        <v>192</v>
      </c>
      <c r="BA78" s="3" t="s">
        <v>192</v>
      </c>
      <c r="BB78" s="3" t="s">
        <v>192</v>
      </c>
      <c r="BC78" s="3" t="s">
        <v>192</v>
      </c>
      <c r="BD78" s="3" t="s">
        <v>192</v>
      </c>
      <c r="BE78" s="3" t="s">
        <v>192</v>
      </c>
      <c r="BF78" s="3" t="s">
        <v>192</v>
      </c>
      <c r="BG78" s="3" t="s">
        <v>192</v>
      </c>
      <c r="BH78" s="3" t="s">
        <v>192</v>
      </c>
      <c r="BI78" s="3" t="s">
        <v>192</v>
      </c>
      <c r="BJ78" s="3" t="s">
        <v>192</v>
      </c>
      <c r="BK78" s="3" t="s">
        <v>192</v>
      </c>
      <c r="BL78" s="3">
        <v>1</v>
      </c>
      <c r="BM78" s="3" t="s">
        <v>192</v>
      </c>
      <c r="BN78" s="3" t="s">
        <v>192</v>
      </c>
      <c r="BO78" s="3" t="s">
        <v>192</v>
      </c>
      <c r="BP78" s="3" t="s">
        <v>192</v>
      </c>
      <c r="BQ78" s="3" t="s">
        <v>192</v>
      </c>
      <c r="BR78" s="3" t="s">
        <v>192</v>
      </c>
      <c r="BS78" s="3">
        <v>1</v>
      </c>
      <c r="BT78" s="3" t="s">
        <v>192</v>
      </c>
      <c r="BU78" s="3" t="s">
        <v>192</v>
      </c>
      <c r="BV78" s="3" t="s">
        <v>192</v>
      </c>
      <c r="BW78" s="3" t="s">
        <v>192</v>
      </c>
      <c r="BX78" s="3" t="s">
        <v>192</v>
      </c>
      <c r="BY78" s="3" t="s">
        <v>192</v>
      </c>
      <c r="BZ78" s="3" t="s">
        <v>192</v>
      </c>
      <c r="CA78" s="3" t="s">
        <v>192</v>
      </c>
      <c r="CB78" s="3" t="s">
        <v>192</v>
      </c>
      <c r="CC78" s="3" t="s">
        <v>192</v>
      </c>
      <c r="CD78" s="3" t="s">
        <v>192</v>
      </c>
      <c r="CE78" s="3" t="s">
        <v>192</v>
      </c>
      <c r="CF78" s="3" t="s">
        <v>192</v>
      </c>
      <c r="CG78" s="3">
        <v>1</v>
      </c>
      <c r="CH78" s="3" t="s">
        <v>192</v>
      </c>
      <c r="CI78" s="3" t="s">
        <v>192</v>
      </c>
      <c r="CJ78" s="3" t="s">
        <v>192</v>
      </c>
      <c r="CK78" s="3" t="s">
        <v>192</v>
      </c>
      <c r="CL78" s="3" t="s">
        <v>192</v>
      </c>
      <c r="CM78" s="3" t="s">
        <v>192</v>
      </c>
      <c r="CN78" s="3" t="s">
        <v>192</v>
      </c>
      <c r="CO78" s="3" t="s">
        <v>192</v>
      </c>
      <c r="CP78" s="3" t="s">
        <v>192</v>
      </c>
      <c r="CQ78" s="3" t="s">
        <v>192</v>
      </c>
      <c r="CR78" s="3" t="s">
        <v>192</v>
      </c>
      <c r="CS78" s="3" t="s">
        <v>192</v>
      </c>
      <c r="CT78" s="1">
        <v>10</v>
      </c>
      <c r="CU78" s="2" t="s">
        <v>517</v>
      </c>
      <c r="CW78" s="1">
        <f>Table7[[#This Row],[NRPS]]</f>
        <v>1</v>
      </c>
      <c r="CX78" s="1">
        <f>SUM(CP78,CR78,CS78,Table7[[#This Row],[T1PKS, T3PKS]])</f>
        <v>0</v>
      </c>
      <c r="CY78" s="1">
        <f t="shared" si="1"/>
        <v>1</v>
      </c>
      <c r="CZ78" s="1">
        <f>Table7[[#This Row],[Terpene]]</f>
        <v>1</v>
      </c>
      <c r="DA78" s="1">
        <f>SUM(Table7[[#This Row],[Thiopeptide]],BH78,BF78,BE78,BC78,AZ78,AX78,AW78,AJ78,AH78,N78,L78,J78,H78,I78,K78,R78,Q78,Table7[[#This Row],[Cyanobactin, LAP]])</f>
        <v>3</v>
      </c>
      <c r="DB78" s="1">
        <f>SUM(CO78,CN78,CL78,CK78,CJ78,CI78,CH78,CF78,CE78,CD78,CB78,CA78,BZ78,BY78,BX78,BW78,BV78,BT78,BR78,BQ78,BP78,BO78,BM78,BK78,BJ78,BI78,BG78,BD78,BB78,BA78,AY78,AV78,AU78,AT78,AS78,AR78,AQ78,AP78,AO78,AN78,AM78,AL78,AK78,AG78,AF78,AE78,AD78,AC78,AB78,AA78,Z78,Y78,X78,W78,V78,U78,T78,S78,P78,O78,M78,Table7[[#This Row],[Acyl_amino_acids]],E78,F78,G78,)</f>
        <v>3</v>
      </c>
    </row>
    <row r="79" spans="1:106" x14ac:dyDescent="0.25">
      <c r="A79" s="9" t="s">
        <v>792</v>
      </c>
      <c r="B79" s="1" t="s">
        <v>435</v>
      </c>
      <c r="C79" s="1" t="s">
        <v>315</v>
      </c>
      <c r="D79" s="3" t="s">
        <v>192</v>
      </c>
      <c r="E79" s="3" t="s">
        <v>192</v>
      </c>
      <c r="F79" s="3" t="s">
        <v>192</v>
      </c>
      <c r="G79" s="3" t="s">
        <v>192</v>
      </c>
      <c r="H79" s="3">
        <v>2</v>
      </c>
      <c r="I79" s="3" t="s">
        <v>192</v>
      </c>
      <c r="J79" s="3" t="s">
        <v>192</v>
      </c>
      <c r="K79" s="3" t="s">
        <v>192</v>
      </c>
      <c r="L79" s="3" t="s">
        <v>192</v>
      </c>
      <c r="M79" s="3" t="s">
        <v>192</v>
      </c>
      <c r="N79" s="3" t="s">
        <v>192</v>
      </c>
      <c r="O79" s="3" t="s">
        <v>192</v>
      </c>
      <c r="P79" s="3" t="s">
        <v>192</v>
      </c>
      <c r="Q79" s="3" t="s">
        <v>192</v>
      </c>
      <c r="R79" s="3" t="s">
        <v>192</v>
      </c>
      <c r="S79" s="3" t="s">
        <v>192</v>
      </c>
      <c r="T79" s="3" t="s">
        <v>192</v>
      </c>
      <c r="U79" s="3" t="s">
        <v>192</v>
      </c>
      <c r="V79" s="3" t="s">
        <v>192</v>
      </c>
      <c r="W79" s="3" t="s">
        <v>192</v>
      </c>
      <c r="X79" s="3" t="s">
        <v>192</v>
      </c>
      <c r="Y79" s="3" t="s">
        <v>192</v>
      </c>
      <c r="Z79" s="3" t="s">
        <v>192</v>
      </c>
      <c r="AA79" s="3">
        <v>1</v>
      </c>
      <c r="AB79" s="3" t="s">
        <v>192</v>
      </c>
      <c r="AC79" s="3" t="s">
        <v>192</v>
      </c>
      <c r="AD79" s="3" t="s">
        <v>192</v>
      </c>
      <c r="AE79" s="3" t="s">
        <v>192</v>
      </c>
      <c r="AF79" s="3" t="s">
        <v>192</v>
      </c>
      <c r="AG79" s="3" t="s">
        <v>192</v>
      </c>
      <c r="AH79" s="3">
        <v>2</v>
      </c>
      <c r="AI79" s="3" t="s">
        <v>192</v>
      </c>
      <c r="AJ79" s="3" t="s">
        <v>192</v>
      </c>
      <c r="AK79" s="3" t="s">
        <v>192</v>
      </c>
      <c r="AL79" s="3">
        <v>1</v>
      </c>
      <c r="AM79" s="3" t="s">
        <v>192</v>
      </c>
      <c r="AN79" s="3" t="s">
        <v>192</v>
      </c>
      <c r="AO79" s="3" t="s">
        <v>192</v>
      </c>
      <c r="AP79" s="3" t="s">
        <v>192</v>
      </c>
      <c r="AQ79" s="3">
        <v>1</v>
      </c>
      <c r="AR79" s="3" t="s">
        <v>192</v>
      </c>
      <c r="AS79" s="3" t="s">
        <v>192</v>
      </c>
      <c r="AT79" s="3" t="s">
        <v>192</v>
      </c>
      <c r="AU79" s="3" t="s">
        <v>192</v>
      </c>
      <c r="AV79" s="3" t="s">
        <v>192</v>
      </c>
      <c r="AW79" s="3" t="s">
        <v>192</v>
      </c>
      <c r="AX79" s="3" t="s">
        <v>192</v>
      </c>
      <c r="AY79" s="3" t="s">
        <v>192</v>
      </c>
      <c r="AZ79" s="3" t="s">
        <v>192</v>
      </c>
      <c r="BA79" s="3" t="s">
        <v>192</v>
      </c>
      <c r="BB79" s="3" t="s">
        <v>192</v>
      </c>
      <c r="BC79" s="3" t="s">
        <v>192</v>
      </c>
      <c r="BD79" s="3" t="s">
        <v>192</v>
      </c>
      <c r="BE79" s="3" t="s">
        <v>192</v>
      </c>
      <c r="BF79" s="3" t="s">
        <v>192</v>
      </c>
      <c r="BG79" s="3" t="s">
        <v>192</v>
      </c>
      <c r="BH79" s="3" t="s">
        <v>192</v>
      </c>
      <c r="BI79" s="3" t="s">
        <v>192</v>
      </c>
      <c r="BJ79" s="3" t="s">
        <v>192</v>
      </c>
      <c r="BK79" s="3" t="s">
        <v>192</v>
      </c>
      <c r="BL79" s="3">
        <v>1</v>
      </c>
      <c r="BM79" s="3" t="s">
        <v>192</v>
      </c>
      <c r="BN79" s="3" t="s">
        <v>192</v>
      </c>
      <c r="BO79" s="3" t="s">
        <v>192</v>
      </c>
      <c r="BP79" s="3" t="s">
        <v>192</v>
      </c>
      <c r="BQ79" s="3" t="s">
        <v>192</v>
      </c>
      <c r="BR79" s="3" t="s">
        <v>192</v>
      </c>
      <c r="BS79" s="3">
        <v>2</v>
      </c>
      <c r="BT79" s="3" t="s">
        <v>192</v>
      </c>
      <c r="BU79" s="3" t="s">
        <v>192</v>
      </c>
      <c r="BV79" s="3" t="s">
        <v>192</v>
      </c>
      <c r="BW79" s="3" t="s">
        <v>192</v>
      </c>
      <c r="BX79" s="3" t="s">
        <v>192</v>
      </c>
      <c r="BY79" s="3" t="s">
        <v>192</v>
      </c>
      <c r="BZ79" s="3" t="s">
        <v>192</v>
      </c>
      <c r="CA79" s="3" t="s">
        <v>192</v>
      </c>
      <c r="CB79" s="3" t="s">
        <v>192</v>
      </c>
      <c r="CC79" s="3" t="s">
        <v>192</v>
      </c>
      <c r="CD79" s="3" t="s">
        <v>192</v>
      </c>
      <c r="CE79" s="3" t="s">
        <v>192</v>
      </c>
      <c r="CF79" s="3" t="s">
        <v>192</v>
      </c>
      <c r="CG79" s="3">
        <v>1</v>
      </c>
      <c r="CH79" s="3" t="s">
        <v>192</v>
      </c>
      <c r="CI79" s="3" t="s">
        <v>192</v>
      </c>
      <c r="CJ79" s="3" t="s">
        <v>192</v>
      </c>
      <c r="CK79" s="3" t="s">
        <v>192</v>
      </c>
      <c r="CL79" s="3" t="s">
        <v>192</v>
      </c>
      <c r="CM79" s="3" t="s">
        <v>192</v>
      </c>
      <c r="CN79" s="3" t="s">
        <v>192</v>
      </c>
      <c r="CO79" s="3" t="s">
        <v>192</v>
      </c>
      <c r="CP79" s="3" t="s">
        <v>192</v>
      </c>
      <c r="CQ79" s="3" t="s">
        <v>192</v>
      </c>
      <c r="CR79" s="3" t="s">
        <v>192</v>
      </c>
      <c r="CS79" s="3" t="s">
        <v>192</v>
      </c>
      <c r="CT79" s="1">
        <f>SUM(Table7[[#This Row],[Acyl_amino_acids]:[T3PKS]])</f>
        <v>11</v>
      </c>
      <c r="CU79" s="2" t="s">
        <v>572</v>
      </c>
      <c r="CW79" s="1">
        <f>Table7[[#This Row],[NRPS]]</f>
        <v>1</v>
      </c>
      <c r="CX79" s="1">
        <f>SUM(CP79,CR79,CS79,Table7[[#This Row],[T1PKS, T3PKS]])</f>
        <v>0</v>
      </c>
      <c r="CY79" s="1">
        <f t="shared" si="1"/>
        <v>2</v>
      </c>
      <c r="CZ79" s="1">
        <f>Table7[[#This Row],[Terpene]]</f>
        <v>1</v>
      </c>
      <c r="DA79" s="1">
        <f>SUM(Table7[[#This Row],[Thiopeptide]],BH79,BF79,BE79,BC79,AZ79,AX79,AW79,AJ79,AH79,N79,L79,J79,H79,I79,K79,R79,Q79,Table7[[#This Row],[Cyanobactin, LAP]])</f>
        <v>4</v>
      </c>
      <c r="DB79" s="1">
        <f>SUM(CO79,CN79,CL79,CK79,CJ79,CI79,CH79,CF79,CE79,CD79,CB79,CA79,BZ79,BY79,BX79,BW79,BV79,BT79,BR79,BQ79,BP79,BO79,BM79,BK79,BJ79,BI79,BG79,BD79,BB79,BA79,AY79,AV79,AU79,AT79,AS79,AR79,AQ79,AP79,AO79,AN79,AM79,AL79,AK79,AG79,AF79,AE79,AD79,AC79,AB79,AA79,Z79,Y79,X79,W79,V79,U79,T79,S79,P79,O79,M79,Table7[[#This Row],[Acyl_amino_acids]],E79,F79,G79,)</f>
        <v>3</v>
      </c>
    </row>
    <row r="80" spans="1:106" x14ac:dyDescent="0.25">
      <c r="A80" s="20" t="s">
        <v>701</v>
      </c>
      <c r="B80" s="1" t="s">
        <v>435</v>
      </c>
      <c r="C80" s="1" t="s">
        <v>197</v>
      </c>
      <c r="D80" s="1" t="s">
        <v>192</v>
      </c>
      <c r="E80" s="1" t="s">
        <v>192</v>
      </c>
      <c r="F80" s="1" t="s">
        <v>192</v>
      </c>
      <c r="G80" s="1" t="s">
        <v>192</v>
      </c>
      <c r="H80" s="1" t="s">
        <v>192</v>
      </c>
      <c r="I80" s="1" t="s">
        <v>192</v>
      </c>
      <c r="J80" s="1" t="s">
        <v>192</v>
      </c>
      <c r="K80" s="1" t="s">
        <v>192</v>
      </c>
      <c r="L80" s="1" t="s">
        <v>192</v>
      </c>
      <c r="M80" s="1" t="s">
        <v>192</v>
      </c>
      <c r="N80" s="1" t="s">
        <v>192</v>
      </c>
      <c r="O80" s="1" t="s">
        <v>192</v>
      </c>
      <c r="P80" s="1" t="s">
        <v>192</v>
      </c>
      <c r="Q80" s="1" t="s">
        <v>192</v>
      </c>
      <c r="R80" s="1" t="s">
        <v>192</v>
      </c>
      <c r="S80" s="1" t="s">
        <v>192</v>
      </c>
      <c r="T80" s="1" t="s">
        <v>192</v>
      </c>
      <c r="U80" s="1" t="s">
        <v>192</v>
      </c>
      <c r="V80" s="1" t="s">
        <v>192</v>
      </c>
      <c r="W80" s="1" t="s">
        <v>192</v>
      </c>
      <c r="X80" s="1" t="s">
        <v>192</v>
      </c>
      <c r="Y80" s="1" t="s">
        <v>192</v>
      </c>
      <c r="Z80" s="1" t="s">
        <v>192</v>
      </c>
      <c r="AA80" s="1" t="s">
        <v>192</v>
      </c>
      <c r="AB80" s="1" t="s">
        <v>192</v>
      </c>
      <c r="AC80" s="1" t="s">
        <v>192</v>
      </c>
      <c r="AD80" s="1" t="s">
        <v>192</v>
      </c>
      <c r="AE80" s="1" t="s">
        <v>192</v>
      </c>
      <c r="AF80" s="1" t="s">
        <v>192</v>
      </c>
      <c r="AG80" s="1" t="s">
        <v>192</v>
      </c>
      <c r="AH80" s="1" t="s">
        <v>192</v>
      </c>
      <c r="AI80" s="1" t="s">
        <v>192</v>
      </c>
      <c r="AJ80" s="1" t="s">
        <v>192</v>
      </c>
      <c r="AK80" s="1" t="s">
        <v>192</v>
      </c>
      <c r="AL80" s="1">
        <v>1</v>
      </c>
      <c r="AM80" s="1" t="s">
        <v>192</v>
      </c>
      <c r="AN80" s="1" t="s">
        <v>192</v>
      </c>
      <c r="AO80" s="1" t="s">
        <v>192</v>
      </c>
      <c r="AP80" s="1" t="s">
        <v>192</v>
      </c>
      <c r="AQ80" s="1">
        <v>1</v>
      </c>
      <c r="AR80" s="1" t="s">
        <v>192</v>
      </c>
      <c r="AS80" s="1" t="s">
        <v>192</v>
      </c>
      <c r="AT80" s="1" t="s">
        <v>192</v>
      </c>
      <c r="AU80" s="1" t="s">
        <v>192</v>
      </c>
      <c r="AV80" s="1" t="s">
        <v>192</v>
      </c>
      <c r="AW80" s="1">
        <v>1</v>
      </c>
      <c r="AX80" s="1" t="s">
        <v>192</v>
      </c>
      <c r="AY80" s="1" t="s">
        <v>192</v>
      </c>
      <c r="AZ80" s="1" t="s">
        <v>192</v>
      </c>
      <c r="BA80" s="1" t="s">
        <v>192</v>
      </c>
      <c r="BB80" s="1" t="s">
        <v>192</v>
      </c>
      <c r="BC80" s="1" t="s">
        <v>192</v>
      </c>
      <c r="BD80" s="1" t="s">
        <v>192</v>
      </c>
      <c r="BE80" s="1" t="s">
        <v>192</v>
      </c>
      <c r="BF80" s="1" t="s">
        <v>192</v>
      </c>
      <c r="BG80" s="1" t="s">
        <v>192</v>
      </c>
      <c r="BH80" s="1" t="s">
        <v>192</v>
      </c>
      <c r="BI80" s="1" t="s">
        <v>192</v>
      </c>
      <c r="BJ80" s="1" t="s">
        <v>192</v>
      </c>
      <c r="BK80" s="1" t="s">
        <v>192</v>
      </c>
      <c r="BL80" s="1">
        <v>2</v>
      </c>
      <c r="BM80" s="1" t="s">
        <v>192</v>
      </c>
      <c r="BN80" s="1" t="s">
        <v>192</v>
      </c>
      <c r="BO80" s="1" t="s">
        <v>192</v>
      </c>
      <c r="BP80" s="1" t="s">
        <v>192</v>
      </c>
      <c r="BQ80" s="1" t="s">
        <v>192</v>
      </c>
      <c r="BR80" s="1" t="s">
        <v>192</v>
      </c>
      <c r="BS80" s="1" t="s">
        <v>192</v>
      </c>
      <c r="BT80" s="1" t="s">
        <v>192</v>
      </c>
      <c r="BU80" s="1" t="s">
        <v>192</v>
      </c>
      <c r="BV80" s="1" t="s">
        <v>192</v>
      </c>
      <c r="BW80" s="1" t="s">
        <v>192</v>
      </c>
      <c r="BX80" s="1" t="s">
        <v>192</v>
      </c>
      <c r="BY80" s="1" t="s">
        <v>192</v>
      </c>
      <c r="BZ80" s="1" t="s">
        <v>192</v>
      </c>
      <c r="CA80" s="1" t="s">
        <v>192</v>
      </c>
      <c r="CB80" s="1" t="s">
        <v>192</v>
      </c>
      <c r="CC80" s="1" t="s">
        <v>192</v>
      </c>
      <c r="CD80" s="1" t="s">
        <v>192</v>
      </c>
      <c r="CE80" s="1" t="s">
        <v>192</v>
      </c>
      <c r="CF80" s="1" t="s">
        <v>192</v>
      </c>
      <c r="CG80" s="1">
        <v>1</v>
      </c>
      <c r="CH80" s="1" t="s">
        <v>192</v>
      </c>
      <c r="CI80" s="1" t="s">
        <v>192</v>
      </c>
      <c r="CJ80" s="1" t="s">
        <v>192</v>
      </c>
      <c r="CK80" s="1" t="s">
        <v>192</v>
      </c>
      <c r="CL80" s="1" t="s">
        <v>192</v>
      </c>
      <c r="CM80" s="1">
        <v>1</v>
      </c>
      <c r="CN80" s="1" t="s">
        <v>192</v>
      </c>
      <c r="CO80" s="1" t="s">
        <v>192</v>
      </c>
      <c r="CP80" s="1" t="s">
        <v>192</v>
      </c>
      <c r="CQ80" s="1" t="s">
        <v>192</v>
      </c>
      <c r="CR80" s="1" t="s">
        <v>192</v>
      </c>
      <c r="CS80" s="1" t="s">
        <v>192</v>
      </c>
      <c r="CT80" s="1">
        <f>SUM(Table7[[#This Row],[Acyl_amino_acids]:[T3PKS]])</f>
        <v>7</v>
      </c>
      <c r="CU80" s="1" t="s">
        <v>196</v>
      </c>
      <c r="CW80" s="1">
        <f>Table7[[#This Row],[NRPS]]</f>
        <v>2</v>
      </c>
      <c r="CX80" s="1">
        <f>SUM(CP80,CR80,CS80,Table7[[#This Row],[T1PKS, T3PKS]])</f>
        <v>0</v>
      </c>
      <c r="CY80" s="1">
        <f t="shared" si="1"/>
        <v>0</v>
      </c>
      <c r="CZ80" s="1">
        <f>Table7[[#This Row],[Terpene]]</f>
        <v>1</v>
      </c>
      <c r="DA80" s="1">
        <f>SUM(Table7[[#This Row],[Thiopeptide]],BH80,BF80,BE80,BC80,AZ80,AX80,AW80,AJ80,AH80,N80,L80,J80,H80,I80,K80,R80,Q80,Table7[[#This Row],[Cyanobactin, LAP]])</f>
        <v>2</v>
      </c>
      <c r="DB80" s="1">
        <f>SUM(CO80,CN80,CL80,CK80,CJ80,CI80,CH80,CF80,CE80,CD80,CB80,CA80,BZ80,BY80,BX80,BW80,BV80,BT80,BR80,BQ80,BP80,BO80,BM80,BK80,BJ80,BI80,BG80,BD80,BB80,BA80,AY80,AV80,AU80,AT80,AS80,AR80,AQ80,AP80,AO80,AN80,AM80,AL80,AK80,AG80,AF80,AE80,AD80,AC80,AB80,AA80,Z80,Y80,X80,W80,V80,U80,T80,S80,P80,O80,M80,Table7[[#This Row],[Acyl_amino_acids]],E80,F80,G80,)</f>
        <v>2</v>
      </c>
    </row>
    <row r="81" spans="1:106" x14ac:dyDescent="0.25">
      <c r="A81" s="9" t="s">
        <v>652</v>
      </c>
      <c r="B81" s="1" t="s">
        <v>435</v>
      </c>
      <c r="C81" s="1" t="s">
        <v>316</v>
      </c>
      <c r="D81" s="3" t="s">
        <v>192</v>
      </c>
      <c r="E81" s="3" t="s">
        <v>192</v>
      </c>
      <c r="F81" s="3" t="s">
        <v>192</v>
      </c>
      <c r="G81" s="3" t="s">
        <v>192</v>
      </c>
      <c r="H81" s="3">
        <v>2</v>
      </c>
      <c r="I81" s="3" t="s">
        <v>192</v>
      </c>
      <c r="J81" s="3" t="s">
        <v>192</v>
      </c>
      <c r="K81" s="3" t="s">
        <v>192</v>
      </c>
      <c r="L81" s="3">
        <v>2</v>
      </c>
      <c r="M81" s="3" t="s">
        <v>192</v>
      </c>
      <c r="N81" s="3" t="s">
        <v>192</v>
      </c>
      <c r="O81" s="3" t="s">
        <v>192</v>
      </c>
      <c r="P81" s="3" t="s">
        <v>192</v>
      </c>
      <c r="Q81" s="3" t="s">
        <v>192</v>
      </c>
      <c r="R81" s="3" t="s">
        <v>192</v>
      </c>
      <c r="S81" s="3" t="s">
        <v>192</v>
      </c>
      <c r="T81" s="3" t="s">
        <v>192</v>
      </c>
      <c r="U81" s="3" t="s">
        <v>192</v>
      </c>
      <c r="V81" s="3" t="s">
        <v>192</v>
      </c>
      <c r="W81" s="3" t="s">
        <v>192</v>
      </c>
      <c r="X81" s="3" t="s">
        <v>192</v>
      </c>
      <c r="Y81" s="3" t="s">
        <v>192</v>
      </c>
      <c r="Z81" s="3" t="s">
        <v>192</v>
      </c>
      <c r="AA81" s="3" t="s">
        <v>192</v>
      </c>
      <c r="AB81" s="3" t="s">
        <v>192</v>
      </c>
      <c r="AC81" s="3" t="s">
        <v>192</v>
      </c>
      <c r="AD81" s="3" t="s">
        <v>192</v>
      </c>
      <c r="AE81" s="3" t="s">
        <v>192</v>
      </c>
      <c r="AF81" s="3" t="s">
        <v>192</v>
      </c>
      <c r="AG81" s="3" t="s">
        <v>192</v>
      </c>
      <c r="AH81" s="3">
        <v>1</v>
      </c>
      <c r="AI81" s="3" t="s">
        <v>192</v>
      </c>
      <c r="AJ81" s="3" t="s">
        <v>192</v>
      </c>
      <c r="AK81" s="3" t="s">
        <v>192</v>
      </c>
      <c r="AL81" s="3" t="s">
        <v>192</v>
      </c>
      <c r="AM81" s="3" t="s">
        <v>192</v>
      </c>
      <c r="AN81" s="3" t="s">
        <v>192</v>
      </c>
      <c r="AO81" s="3" t="s">
        <v>192</v>
      </c>
      <c r="AP81" s="3" t="s">
        <v>192</v>
      </c>
      <c r="AQ81" s="3">
        <v>1</v>
      </c>
      <c r="AR81" s="3" t="s">
        <v>192</v>
      </c>
      <c r="AS81" s="3" t="s">
        <v>192</v>
      </c>
      <c r="AT81" s="3" t="s">
        <v>192</v>
      </c>
      <c r="AU81" s="3" t="s">
        <v>192</v>
      </c>
      <c r="AV81" s="3" t="s">
        <v>192</v>
      </c>
      <c r="AW81" s="3" t="s">
        <v>192</v>
      </c>
      <c r="AX81" s="3" t="s">
        <v>192</v>
      </c>
      <c r="AY81" s="3" t="s">
        <v>192</v>
      </c>
      <c r="AZ81" s="3">
        <v>1</v>
      </c>
      <c r="BA81" s="3" t="s">
        <v>192</v>
      </c>
      <c r="BB81" s="3" t="s">
        <v>192</v>
      </c>
      <c r="BC81" s="3" t="s">
        <v>192</v>
      </c>
      <c r="BD81" s="3" t="s">
        <v>192</v>
      </c>
      <c r="BE81" s="3" t="s">
        <v>192</v>
      </c>
      <c r="BF81" s="3" t="s">
        <v>192</v>
      </c>
      <c r="BG81" s="3" t="s">
        <v>192</v>
      </c>
      <c r="BH81" s="3" t="s">
        <v>192</v>
      </c>
      <c r="BI81" s="3" t="s">
        <v>192</v>
      </c>
      <c r="BJ81" s="3" t="s">
        <v>192</v>
      </c>
      <c r="BK81" s="3" t="s">
        <v>192</v>
      </c>
      <c r="BL81" s="3">
        <v>4</v>
      </c>
      <c r="BM81" s="3" t="s">
        <v>192</v>
      </c>
      <c r="BN81" s="3" t="s">
        <v>192</v>
      </c>
      <c r="BO81" s="3" t="s">
        <v>192</v>
      </c>
      <c r="BP81" s="3" t="s">
        <v>192</v>
      </c>
      <c r="BQ81" s="3" t="s">
        <v>192</v>
      </c>
      <c r="BR81" s="3" t="s">
        <v>192</v>
      </c>
      <c r="BS81" s="3">
        <v>2</v>
      </c>
      <c r="BT81" s="3" t="s">
        <v>192</v>
      </c>
      <c r="BU81" s="3" t="s">
        <v>192</v>
      </c>
      <c r="BV81" s="3" t="s">
        <v>192</v>
      </c>
      <c r="BW81" s="3" t="s">
        <v>192</v>
      </c>
      <c r="BX81" s="3" t="s">
        <v>192</v>
      </c>
      <c r="BY81" s="3" t="s">
        <v>192</v>
      </c>
      <c r="BZ81" s="3" t="s">
        <v>192</v>
      </c>
      <c r="CA81" s="3" t="s">
        <v>192</v>
      </c>
      <c r="CB81" s="3" t="s">
        <v>192</v>
      </c>
      <c r="CC81" s="3" t="s">
        <v>192</v>
      </c>
      <c r="CD81" s="3" t="s">
        <v>192</v>
      </c>
      <c r="CE81" s="3" t="s">
        <v>192</v>
      </c>
      <c r="CF81" s="3" t="s">
        <v>192</v>
      </c>
      <c r="CG81" s="3">
        <v>4</v>
      </c>
      <c r="CH81" s="3" t="s">
        <v>192</v>
      </c>
      <c r="CI81" s="3" t="s">
        <v>192</v>
      </c>
      <c r="CJ81" s="3" t="s">
        <v>192</v>
      </c>
      <c r="CK81" s="3" t="s">
        <v>192</v>
      </c>
      <c r="CL81" s="3" t="s">
        <v>192</v>
      </c>
      <c r="CM81" s="3" t="s">
        <v>192</v>
      </c>
      <c r="CN81" s="3" t="s">
        <v>192</v>
      </c>
      <c r="CO81" s="3" t="s">
        <v>192</v>
      </c>
      <c r="CP81" s="3" t="s">
        <v>192</v>
      </c>
      <c r="CQ81" s="3" t="s">
        <v>192</v>
      </c>
      <c r="CR81" s="3" t="s">
        <v>192</v>
      </c>
      <c r="CS81" s="3" t="s">
        <v>192</v>
      </c>
      <c r="CT81" s="1">
        <f>SUM(Table7[[#This Row],[Acyl_amino_acids]:[T3PKS]])</f>
        <v>17</v>
      </c>
      <c r="CU81" s="3" t="s">
        <v>192</v>
      </c>
      <c r="CW81" s="1">
        <f>Table7[[#This Row],[NRPS]]</f>
        <v>4</v>
      </c>
      <c r="CX81" s="1">
        <f>SUM(CP81,CR81,CS81,Table7[[#This Row],[T1PKS, T3PKS]])</f>
        <v>0</v>
      </c>
      <c r="CY81" s="1">
        <f t="shared" si="1"/>
        <v>2</v>
      </c>
      <c r="CZ81" s="1">
        <f>Table7[[#This Row],[Terpene]]</f>
        <v>4</v>
      </c>
      <c r="DA81" s="1">
        <f>SUM(Table7[[#This Row],[Thiopeptide]],BH81,BF81,BE81,BC81,AZ81,AX81,AW81,AJ81,AH81,N81,L81,J81,H81,I81,K81,R81,Q81,Table7[[#This Row],[Cyanobactin, LAP]])</f>
        <v>6</v>
      </c>
      <c r="DB81" s="1">
        <f>SUM(CO81,CN81,CL81,CK81,CJ81,CI81,CH81,CF81,CE81,CD81,CB81,CA81,BZ81,BY81,BX81,BW81,BV81,BT81,BR81,BQ81,BP81,BO81,BM81,BK81,BJ81,BI81,BG81,BD81,BB81,BA81,AY81,AV81,AU81,AT81,AS81,AR81,AQ81,AP81,AO81,AN81,AM81,AL81,AK81,AG81,AF81,AE81,AD81,AC81,AB81,AA81,Z81,Y81,X81,W81,V81,U81,T81,S81,P81,O81,M81,Table7[[#This Row],[Acyl_amino_acids]],E81,F81,G81,)</f>
        <v>1</v>
      </c>
    </row>
    <row r="82" spans="1:106" x14ac:dyDescent="0.25">
      <c r="A82" s="9" t="s">
        <v>790</v>
      </c>
      <c r="B82" s="1" t="s">
        <v>435</v>
      </c>
      <c r="C82" s="1" t="s">
        <v>317</v>
      </c>
      <c r="D82" s="3" t="s">
        <v>192</v>
      </c>
      <c r="E82" s="3" t="s">
        <v>192</v>
      </c>
      <c r="F82" s="3" t="s">
        <v>192</v>
      </c>
      <c r="G82" s="3" t="s">
        <v>192</v>
      </c>
      <c r="H82" s="3">
        <v>4</v>
      </c>
      <c r="I82" s="3" t="s">
        <v>192</v>
      </c>
      <c r="J82" s="3" t="s">
        <v>192</v>
      </c>
      <c r="K82" s="3" t="s">
        <v>192</v>
      </c>
      <c r="L82" s="3" t="s">
        <v>192</v>
      </c>
      <c r="M82" s="3" t="s">
        <v>192</v>
      </c>
      <c r="N82" s="3" t="s">
        <v>192</v>
      </c>
      <c r="O82" s="3" t="s">
        <v>192</v>
      </c>
      <c r="P82" s="3">
        <v>1</v>
      </c>
      <c r="Q82" s="3" t="s">
        <v>192</v>
      </c>
      <c r="R82" s="3" t="s">
        <v>192</v>
      </c>
      <c r="S82" s="3" t="s">
        <v>192</v>
      </c>
      <c r="T82" s="3" t="s">
        <v>192</v>
      </c>
      <c r="U82" s="3" t="s">
        <v>192</v>
      </c>
      <c r="V82" s="3" t="s">
        <v>192</v>
      </c>
      <c r="W82" s="3" t="s">
        <v>192</v>
      </c>
      <c r="X82" s="3" t="s">
        <v>192</v>
      </c>
      <c r="Y82" s="3" t="s">
        <v>192</v>
      </c>
      <c r="Z82" s="3" t="s">
        <v>192</v>
      </c>
      <c r="AA82" s="3" t="s">
        <v>192</v>
      </c>
      <c r="AB82" s="3" t="s">
        <v>192</v>
      </c>
      <c r="AC82" s="3" t="s">
        <v>192</v>
      </c>
      <c r="AD82" s="3" t="s">
        <v>192</v>
      </c>
      <c r="AE82" s="3" t="s">
        <v>192</v>
      </c>
      <c r="AF82" s="3" t="s">
        <v>192</v>
      </c>
      <c r="AG82" s="3" t="s">
        <v>192</v>
      </c>
      <c r="AH82" s="3" t="s">
        <v>192</v>
      </c>
      <c r="AI82" s="3" t="s">
        <v>192</v>
      </c>
      <c r="AJ82" s="3" t="s">
        <v>192</v>
      </c>
      <c r="AK82" s="3" t="s">
        <v>192</v>
      </c>
      <c r="AL82" s="3" t="s">
        <v>192</v>
      </c>
      <c r="AM82" s="3" t="s">
        <v>192</v>
      </c>
      <c r="AN82" s="3" t="s">
        <v>192</v>
      </c>
      <c r="AO82" s="3">
        <v>1</v>
      </c>
      <c r="AP82" s="3" t="s">
        <v>192</v>
      </c>
      <c r="AQ82" s="3">
        <v>1</v>
      </c>
      <c r="AR82" s="3" t="s">
        <v>192</v>
      </c>
      <c r="AS82" s="3" t="s">
        <v>192</v>
      </c>
      <c r="AT82" s="3" t="s">
        <v>192</v>
      </c>
      <c r="AU82" s="3" t="s">
        <v>192</v>
      </c>
      <c r="AV82" s="3" t="s">
        <v>192</v>
      </c>
      <c r="AW82" s="3">
        <v>1</v>
      </c>
      <c r="AX82" s="3" t="s">
        <v>192</v>
      </c>
      <c r="AY82" s="3" t="s">
        <v>192</v>
      </c>
      <c r="AZ82" s="3">
        <v>1</v>
      </c>
      <c r="BA82" s="3" t="s">
        <v>192</v>
      </c>
      <c r="BB82" s="3" t="s">
        <v>192</v>
      </c>
      <c r="BC82" s="3" t="s">
        <v>192</v>
      </c>
      <c r="BD82" s="3" t="s">
        <v>192</v>
      </c>
      <c r="BE82" s="3" t="s">
        <v>192</v>
      </c>
      <c r="BF82" s="3" t="s">
        <v>192</v>
      </c>
      <c r="BG82" s="3" t="s">
        <v>192</v>
      </c>
      <c r="BH82" s="3">
        <v>1</v>
      </c>
      <c r="BI82" s="3" t="s">
        <v>192</v>
      </c>
      <c r="BJ82" s="3" t="s">
        <v>192</v>
      </c>
      <c r="BK82" s="3" t="s">
        <v>192</v>
      </c>
      <c r="BL82" s="3">
        <v>2</v>
      </c>
      <c r="BM82" s="3" t="s">
        <v>192</v>
      </c>
      <c r="BN82" s="3" t="s">
        <v>192</v>
      </c>
      <c r="BO82" s="3" t="s">
        <v>192</v>
      </c>
      <c r="BP82" s="3" t="s">
        <v>192</v>
      </c>
      <c r="BQ82" s="3" t="s">
        <v>192</v>
      </c>
      <c r="BR82" s="3" t="s">
        <v>192</v>
      </c>
      <c r="BS82" s="3">
        <v>1</v>
      </c>
      <c r="BT82" s="3" t="s">
        <v>192</v>
      </c>
      <c r="BU82" s="3" t="s">
        <v>192</v>
      </c>
      <c r="BV82" s="3" t="s">
        <v>192</v>
      </c>
      <c r="BW82" s="3" t="s">
        <v>192</v>
      </c>
      <c r="BX82" s="3" t="s">
        <v>192</v>
      </c>
      <c r="BY82" s="3" t="s">
        <v>192</v>
      </c>
      <c r="BZ82" s="3" t="s">
        <v>192</v>
      </c>
      <c r="CA82" s="3" t="s">
        <v>192</v>
      </c>
      <c r="CB82" s="3" t="s">
        <v>192</v>
      </c>
      <c r="CC82" s="3" t="s">
        <v>192</v>
      </c>
      <c r="CD82" s="3" t="s">
        <v>192</v>
      </c>
      <c r="CE82" s="3" t="s">
        <v>192</v>
      </c>
      <c r="CF82" s="3" t="s">
        <v>192</v>
      </c>
      <c r="CG82" s="3">
        <v>4</v>
      </c>
      <c r="CH82" s="3" t="s">
        <v>192</v>
      </c>
      <c r="CI82" s="3" t="s">
        <v>192</v>
      </c>
      <c r="CJ82" s="3" t="s">
        <v>192</v>
      </c>
      <c r="CK82" s="3" t="s">
        <v>192</v>
      </c>
      <c r="CL82" s="3" t="s">
        <v>192</v>
      </c>
      <c r="CM82" s="3" t="s">
        <v>192</v>
      </c>
      <c r="CN82" s="3" t="s">
        <v>192</v>
      </c>
      <c r="CO82" s="3" t="s">
        <v>192</v>
      </c>
      <c r="CP82" s="3" t="s">
        <v>192</v>
      </c>
      <c r="CQ82" s="3" t="s">
        <v>192</v>
      </c>
      <c r="CR82" s="3" t="s">
        <v>192</v>
      </c>
      <c r="CS82" s="3" t="s">
        <v>192</v>
      </c>
      <c r="CT82" s="1">
        <f>SUM(Table7[[#This Row],[Acyl_amino_acids]:[T3PKS]])</f>
        <v>17</v>
      </c>
      <c r="CU82" s="3" t="s">
        <v>196</v>
      </c>
      <c r="CW82" s="1">
        <f>Table7[[#This Row],[NRPS]]</f>
        <v>2</v>
      </c>
      <c r="CX82" s="1">
        <f>SUM(CP82,CR82,CS82,Table7[[#This Row],[T1PKS, T3PKS]])</f>
        <v>0</v>
      </c>
      <c r="CY82" s="1">
        <f t="shared" si="1"/>
        <v>1</v>
      </c>
      <c r="CZ82" s="1">
        <f>Table7[[#This Row],[Terpene]]</f>
        <v>4</v>
      </c>
      <c r="DA82" s="1">
        <f>SUM(Table7[[#This Row],[Thiopeptide]],BH82,BF82,BE82,BC82,AZ82,AX82,AW82,AJ82,AH82,N82,L82,J82,H82,I82,K82,R82,Q82,Table7[[#This Row],[Cyanobactin, LAP]])</f>
        <v>7</v>
      </c>
      <c r="DB82" s="1">
        <f>SUM(CO82,CN82,CL82,CK82,CJ82,CI82,CH82,CF82,CE82,CD82,CB82,CA82,BZ82,BY82,BX82,BW82,BV82,BT82,BR82,BQ82,BP82,BO82,BM82,BK82,BJ82,BI82,BG82,BD82,BB82,BA82,AY82,AV82,AU82,AT82,AS82,AR82,AQ82,AP82,AO82,AN82,AM82,AL82,AK82,AG82,AF82,AE82,AD82,AC82,AB82,AA82,Z82,Y82,X82,W82,V82,U82,T82,S82,P82,O82,M82,Table7[[#This Row],[Acyl_amino_acids]],E82,F82,G82,)</f>
        <v>3</v>
      </c>
    </row>
    <row r="83" spans="1:106" x14ac:dyDescent="0.25">
      <c r="A83" s="9" t="s">
        <v>659</v>
      </c>
      <c r="B83" s="1" t="s">
        <v>435</v>
      </c>
      <c r="C83" s="1" t="s">
        <v>318</v>
      </c>
      <c r="D83" s="3" t="s">
        <v>192</v>
      </c>
      <c r="E83" s="3" t="s">
        <v>192</v>
      </c>
      <c r="F83" s="3" t="s">
        <v>192</v>
      </c>
      <c r="G83" s="3" t="s">
        <v>192</v>
      </c>
      <c r="H83" s="3">
        <v>2</v>
      </c>
      <c r="I83" s="3" t="s">
        <v>192</v>
      </c>
      <c r="J83" s="3" t="s">
        <v>192</v>
      </c>
      <c r="K83" s="3" t="s">
        <v>192</v>
      </c>
      <c r="L83" s="3" t="s">
        <v>192</v>
      </c>
      <c r="M83" s="3" t="s">
        <v>192</v>
      </c>
      <c r="N83" s="3" t="s">
        <v>192</v>
      </c>
      <c r="O83" s="3" t="s">
        <v>192</v>
      </c>
      <c r="P83" s="3" t="s">
        <v>192</v>
      </c>
      <c r="Q83" s="3" t="s">
        <v>192</v>
      </c>
      <c r="R83" s="3" t="s">
        <v>192</v>
      </c>
      <c r="S83" s="3" t="s">
        <v>192</v>
      </c>
      <c r="T83" s="3" t="s">
        <v>192</v>
      </c>
      <c r="U83" s="3" t="s">
        <v>192</v>
      </c>
      <c r="V83" s="3" t="s">
        <v>192</v>
      </c>
      <c r="W83" s="3" t="s">
        <v>192</v>
      </c>
      <c r="X83" s="3" t="s">
        <v>192</v>
      </c>
      <c r="Y83" s="3" t="s">
        <v>192</v>
      </c>
      <c r="Z83" s="3" t="s">
        <v>192</v>
      </c>
      <c r="AA83" s="3" t="s">
        <v>192</v>
      </c>
      <c r="AB83" s="3" t="s">
        <v>192</v>
      </c>
      <c r="AC83" s="3" t="s">
        <v>192</v>
      </c>
      <c r="AD83" s="3" t="s">
        <v>192</v>
      </c>
      <c r="AE83" s="3" t="s">
        <v>192</v>
      </c>
      <c r="AF83" s="3" t="s">
        <v>192</v>
      </c>
      <c r="AG83" s="3" t="s">
        <v>192</v>
      </c>
      <c r="AH83" s="3" t="s">
        <v>192</v>
      </c>
      <c r="AI83" s="3" t="s">
        <v>192</v>
      </c>
      <c r="AJ83" s="3" t="s">
        <v>192</v>
      </c>
      <c r="AK83" s="3" t="s">
        <v>192</v>
      </c>
      <c r="AL83" s="3" t="s">
        <v>192</v>
      </c>
      <c r="AM83" s="3" t="s">
        <v>192</v>
      </c>
      <c r="AN83" s="3" t="s">
        <v>192</v>
      </c>
      <c r="AO83" s="3" t="s">
        <v>192</v>
      </c>
      <c r="AP83" s="3" t="s">
        <v>192</v>
      </c>
      <c r="AQ83" s="3">
        <v>1</v>
      </c>
      <c r="AR83" s="3" t="s">
        <v>192</v>
      </c>
      <c r="AS83" s="3" t="s">
        <v>192</v>
      </c>
      <c r="AT83" s="3" t="s">
        <v>192</v>
      </c>
      <c r="AU83" s="3" t="s">
        <v>192</v>
      </c>
      <c r="AV83" s="3" t="s">
        <v>192</v>
      </c>
      <c r="AW83" s="3" t="s">
        <v>192</v>
      </c>
      <c r="AX83" s="3" t="s">
        <v>192</v>
      </c>
      <c r="AY83" s="3" t="s">
        <v>192</v>
      </c>
      <c r="AZ83" s="3">
        <v>1</v>
      </c>
      <c r="BA83" s="3" t="s">
        <v>192</v>
      </c>
      <c r="BB83" s="3" t="s">
        <v>192</v>
      </c>
      <c r="BC83" s="3" t="s">
        <v>192</v>
      </c>
      <c r="BD83" s="3" t="s">
        <v>192</v>
      </c>
      <c r="BE83" s="3" t="s">
        <v>192</v>
      </c>
      <c r="BF83" s="3" t="s">
        <v>192</v>
      </c>
      <c r="BG83" s="3" t="s">
        <v>192</v>
      </c>
      <c r="BH83" s="3">
        <v>1</v>
      </c>
      <c r="BI83" s="3" t="s">
        <v>192</v>
      </c>
      <c r="BJ83" s="3" t="s">
        <v>192</v>
      </c>
      <c r="BK83" s="3" t="s">
        <v>192</v>
      </c>
      <c r="BL83" s="3">
        <v>2</v>
      </c>
      <c r="BM83" s="3" t="s">
        <v>192</v>
      </c>
      <c r="BN83" s="3" t="s">
        <v>192</v>
      </c>
      <c r="BO83" s="3" t="s">
        <v>192</v>
      </c>
      <c r="BP83" s="3" t="s">
        <v>192</v>
      </c>
      <c r="BQ83" s="3" t="s">
        <v>192</v>
      </c>
      <c r="BR83" s="3" t="s">
        <v>192</v>
      </c>
      <c r="BS83" s="3">
        <v>3</v>
      </c>
      <c r="BT83" s="3" t="s">
        <v>192</v>
      </c>
      <c r="BU83" s="3" t="s">
        <v>192</v>
      </c>
      <c r="BV83" s="3" t="s">
        <v>192</v>
      </c>
      <c r="BW83" s="3" t="s">
        <v>192</v>
      </c>
      <c r="BX83" s="3" t="s">
        <v>192</v>
      </c>
      <c r="BY83" s="3" t="s">
        <v>192</v>
      </c>
      <c r="BZ83" s="3" t="s">
        <v>192</v>
      </c>
      <c r="CA83" s="3" t="s">
        <v>192</v>
      </c>
      <c r="CB83" s="3" t="s">
        <v>192</v>
      </c>
      <c r="CC83" s="3" t="s">
        <v>192</v>
      </c>
      <c r="CD83" s="3" t="s">
        <v>192</v>
      </c>
      <c r="CE83" s="3" t="s">
        <v>192</v>
      </c>
      <c r="CF83" s="3" t="s">
        <v>192</v>
      </c>
      <c r="CG83" s="3">
        <v>4</v>
      </c>
      <c r="CH83" s="3" t="s">
        <v>192</v>
      </c>
      <c r="CI83" s="3" t="s">
        <v>192</v>
      </c>
      <c r="CJ83" s="3" t="s">
        <v>192</v>
      </c>
      <c r="CK83" s="3" t="s">
        <v>192</v>
      </c>
      <c r="CL83" s="3" t="s">
        <v>192</v>
      </c>
      <c r="CM83" s="3">
        <v>1</v>
      </c>
      <c r="CN83" s="3" t="s">
        <v>192</v>
      </c>
      <c r="CO83" s="3" t="s">
        <v>192</v>
      </c>
      <c r="CP83" s="3">
        <v>1</v>
      </c>
      <c r="CQ83" s="3" t="s">
        <v>192</v>
      </c>
      <c r="CR83" s="3" t="s">
        <v>192</v>
      </c>
      <c r="CS83" s="3" t="s">
        <v>192</v>
      </c>
      <c r="CT83" s="1">
        <f>SUM(Table7[[#This Row],[Acyl_amino_acids]:[T3PKS]])</f>
        <v>16</v>
      </c>
      <c r="CU83" s="3" t="s">
        <v>196</v>
      </c>
      <c r="CW83" s="1">
        <f>Table7[[#This Row],[NRPS]]</f>
        <v>2</v>
      </c>
      <c r="CX83" s="1">
        <f>SUM(CP83,CR83,CS83,Table7[[#This Row],[T1PKS, T3PKS]])</f>
        <v>1</v>
      </c>
      <c r="CY83" s="1">
        <f t="shared" si="1"/>
        <v>3</v>
      </c>
      <c r="CZ83" s="1">
        <f>Table7[[#This Row],[Terpene]]</f>
        <v>4</v>
      </c>
      <c r="DA83" s="1">
        <f>SUM(Table7[[#This Row],[Thiopeptide]],BH83,BF83,BE83,BC83,AZ83,AX83,AW83,AJ83,AH83,N83,L83,J83,H83,I83,K83,R83,Q83,Table7[[#This Row],[Cyanobactin, LAP]])</f>
        <v>5</v>
      </c>
      <c r="DB83" s="1">
        <f>SUM(CO83,CN83,CL83,CK83,CJ83,CI83,CH83,CF83,CE83,CD83,CB83,CA83,BZ83,BY83,BX83,BW83,BV83,BT83,BR83,BQ83,BP83,BO83,BM83,BK83,BJ83,BI83,BG83,BD83,BB83,BA83,AY83,AV83,AU83,AT83,AS83,AR83,AQ83,AP83,AO83,AN83,AM83,AL83,AK83,AG83,AF83,AE83,AD83,AC83,AB83,AA83,Z83,Y83,X83,W83,V83,U83,T83,S83,P83,O83,M83,Table7[[#This Row],[Acyl_amino_acids]],E83,F83,G83,)</f>
        <v>1</v>
      </c>
    </row>
    <row r="84" spans="1:106" x14ac:dyDescent="0.25">
      <c r="A84" s="9" t="s">
        <v>650</v>
      </c>
      <c r="B84" s="1" t="s">
        <v>435</v>
      </c>
      <c r="C84" s="1" t="s">
        <v>319</v>
      </c>
      <c r="D84" s="3" t="s">
        <v>192</v>
      </c>
      <c r="E84" s="3" t="s">
        <v>192</v>
      </c>
      <c r="F84" s="3" t="s">
        <v>192</v>
      </c>
      <c r="G84" s="3" t="s">
        <v>192</v>
      </c>
      <c r="H84" s="3">
        <v>1</v>
      </c>
      <c r="I84" s="3" t="s">
        <v>192</v>
      </c>
      <c r="J84" s="3" t="s">
        <v>192</v>
      </c>
      <c r="K84" s="3" t="s">
        <v>192</v>
      </c>
      <c r="L84" s="3">
        <v>1</v>
      </c>
      <c r="M84" s="3" t="s">
        <v>192</v>
      </c>
      <c r="N84" s="3" t="s">
        <v>192</v>
      </c>
      <c r="O84" s="3" t="s">
        <v>192</v>
      </c>
      <c r="P84" s="3" t="s">
        <v>192</v>
      </c>
      <c r="Q84" s="3" t="s">
        <v>192</v>
      </c>
      <c r="R84" s="3" t="s">
        <v>192</v>
      </c>
      <c r="S84" s="3" t="s">
        <v>192</v>
      </c>
      <c r="T84" s="3" t="s">
        <v>192</v>
      </c>
      <c r="U84" s="3" t="s">
        <v>192</v>
      </c>
      <c r="V84" s="3" t="s">
        <v>192</v>
      </c>
      <c r="W84" s="3" t="s">
        <v>192</v>
      </c>
      <c r="X84" s="3" t="s">
        <v>192</v>
      </c>
      <c r="Y84" s="3" t="s">
        <v>192</v>
      </c>
      <c r="Z84" s="3" t="s">
        <v>192</v>
      </c>
      <c r="AA84" s="3" t="s">
        <v>192</v>
      </c>
      <c r="AB84" s="3" t="s">
        <v>192</v>
      </c>
      <c r="AC84" s="3" t="s">
        <v>192</v>
      </c>
      <c r="AD84" s="3" t="s">
        <v>192</v>
      </c>
      <c r="AE84" s="3" t="s">
        <v>192</v>
      </c>
      <c r="AF84" s="3" t="s">
        <v>192</v>
      </c>
      <c r="AG84" s="3" t="s">
        <v>192</v>
      </c>
      <c r="AH84" s="3" t="s">
        <v>192</v>
      </c>
      <c r="AI84" s="3" t="s">
        <v>192</v>
      </c>
      <c r="AJ84" s="3" t="s">
        <v>192</v>
      </c>
      <c r="AK84" s="3" t="s">
        <v>192</v>
      </c>
      <c r="AL84" s="3" t="s">
        <v>192</v>
      </c>
      <c r="AM84" s="3" t="s">
        <v>192</v>
      </c>
      <c r="AN84" s="3" t="s">
        <v>192</v>
      </c>
      <c r="AO84" s="3" t="s">
        <v>192</v>
      </c>
      <c r="AP84" s="3" t="s">
        <v>192</v>
      </c>
      <c r="AQ84" s="3">
        <v>2</v>
      </c>
      <c r="AR84" s="3" t="s">
        <v>192</v>
      </c>
      <c r="AS84" s="3" t="s">
        <v>192</v>
      </c>
      <c r="AT84" s="3" t="s">
        <v>192</v>
      </c>
      <c r="AU84" s="3" t="s">
        <v>192</v>
      </c>
      <c r="AV84" s="3" t="s">
        <v>192</v>
      </c>
      <c r="AW84" s="3" t="s">
        <v>192</v>
      </c>
      <c r="AX84" s="3" t="s">
        <v>192</v>
      </c>
      <c r="AY84" s="3" t="s">
        <v>192</v>
      </c>
      <c r="AZ84" s="3" t="s">
        <v>192</v>
      </c>
      <c r="BA84" s="3" t="s">
        <v>192</v>
      </c>
      <c r="BB84" s="3" t="s">
        <v>192</v>
      </c>
      <c r="BC84" s="3">
        <v>1</v>
      </c>
      <c r="BD84" s="3" t="s">
        <v>192</v>
      </c>
      <c r="BE84" s="3" t="s">
        <v>192</v>
      </c>
      <c r="BF84" s="3" t="s">
        <v>192</v>
      </c>
      <c r="BG84" s="3" t="s">
        <v>192</v>
      </c>
      <c r="BH84" s="3">
        <v>1</v>
      </c>
      <c r="BI84" s="3" t="s">
        <v>192</v>
      </c>
      <c r="BJ84" s="3" t="s">
        <v>192</v>
      </c>
      <c r="BK84" s="3" t="s">
        <v>192</v>
      </c>
      <c r="BL84" s="3">
        <v>6</v>
      </c>
      <c r="BM84" s="3" t="s">
        <v>192</v>
      </c>
      <c r="BN84" s="3" t="s">
        <v>192</v>
      </c>
      <c r="BO84" s="3" t="s">
        <v>192</v>
      </c>
      <c r="BP84" s="3" t="s">
        <v>192</v>
      </c>
      <c r="BQ84" s="3" t="s">
        <v>192</v>
      </c>
      <c r="BR84" s="3" t="s">
        <v>192</v>
      </c>
      <c r="BS84" s="3">
        <v>2</v>
      </c>
      <c r="BT84" s="3" t="s">
        <v>192</v>
      </c>
      <c r="BU84" s="3" t="s">
        <v>192</v>
      </c>
      <c r="BV84" s="3" t="s">
        <v>192</v>
      </c>
      <c r="BW84" s="3" t="s">
        <v>192</v>
      </c>
      <c r="BX84" s="3" t="s">
        <v>192</v>
      </c>
      <c r="BY84" s="3" t="s">
        <v>192</v>
      </c>
      <c r="BZ84" s="3" t="s">
        <v>192</v>
      </c>
      <c r="CA84" s="3">
        <v>1</v>
      </c>
      <c r="CB84" s="3" t="s">
        <v>192</v>
      </c>
      <c r="CC84" s="3" t="s">
        <v>192</v>
      </c>
      <c r="CD84" s="3" t="s">
        <v>192</v>
      </c>
      <c r="CE84" s="3" t="s">
        <v>192</v>
      </c>
      <c r="CF84" s="3" t="s">
        <v>192</v>
      </c>
      <c r="CG84" s="3">
        <v>4</v>
      </c>
      <c r="CH84" s="3" t="s">
        <v>192</v>
      </c>
      <c r="CI84" s="3" t="s">
        <v>192</v>
      </c>
      <c r="CJ84" s="3" t="s">
        <v>192</v>
      </c>
      <c r="CK84" s="3" t="s">
        <v>192</v>
      </c>
      <c r="CL84" s="3" t="s">
        <v>192</v>
      </c>
      <c r="CM84" s="3" t="s">
        <v>192</v>
      </c>
      <c r="CN84" s="3" t="s">
        <v>192</v>
      </c>
      <c r="CO84" s="3" t="s">
        <v>192</v>
      </c>
      <c r="CP84" s="3" t="s">
        <v>192</v>
      </c>
      <c r="CQ84" s="3" t="s">
        <v>192</v>
      </c>
      <c r="CR84" s="3" t="s">
        <v>192</v>
      </c>
      <c r="CS84" s="3" t="s">
        <v>192</v>
      </c>
      <c r="CT84" s="1">
        <f>SUM(Table7[[#This Row],[Acyl_amino_acids]:[T3PKS]])</f>
        <v>19</v>
      </c>
      <c r="CU84" s="2" t="s">
        <v>458</v>
      </c>
      <c r="CW84" s="1">
        <f>Table7[[#This Row],[NRPS]]</f>
        <v>6</v>
      </c>
      <c r="CX84" s="1">
        <f>SUM(CP84,CR84,CS84,Table7[[#This Row],[T1PKS, T3PKS]])</f>
        <v>0</v>
      </c>
      <c r="CY84" s="1">
        <f t="shared" si="1"/>
        <v>2</v>
      </c>
      <c r="CZ84" s="1">
        <f>Table7[[#This Row],[Terpene]]</f>
        <v>4</v>
      </c>
      <c r="DA84" s="1">
        <f>SUM(Table7[[#This Row],[Thiopeptide]],BH84,BF84,BE84,BC84,AZ84,AX84,AW84,AJ84,AH84,N84,L84,J84,H84,I84,K84,R84,Q84,Table7[[#This Row],[Cyanobactin, LAP]])</f>
        <v>4</v>
      </c>
      <c r="DB84" s="1">
        <f>SUM(CO84,CN84,CL84,CK84,CJ84,CI84,CH84,CF84,CE84,CD84,CB84,CA84,BZ84,BY84,BX84,BW84,BV84,BT84,BR84,BQ84,BP84,BO84,BM84,BK84,BJ84,BI84,BG84,BD84,BB84,BA84,AY84,AV84,AU84,AT84,AS84,AR84,AQ84,AP84,AO84,AN84,AM84,AL84,AK84,AG84,AF84,AE84,AD84,AC84,AB84,AA84,Z84,Y84,X84,W84,V84,U84,T84,S84,P84,O84,M84,Table7[[#This Row],[Acyl_amino_acids]],E84,F84,G84,)</f>
        <v>3</v>
      </c>
    </row>
    <row r="85" spans="1:106" x14ac:dyDescent="0.25">
      <c r="A85" s="9" t="s">
        <v>748</v>
      </c>
      <c r="B85" s="1" t="s">
        <v>435</v>
      </c>
      <c r="C85" s="1" t="s">
        <v>322</v>
      </c>
      <c r="D85" s="1" t="s">
        <v>192</v>
      </c>
      <c r="E85" s="3" t="s">
        <v>192</v>
      </c>
      <c r="F85" s="3" t="s">
        <v>192</v>
      </c>
      <c r="G85" s="3" t="s">
        <v>192</v>
      </c>
      <c r="H85" s="3">
        <v>4</v>
      </c>
      <c r="I85" s="3" t="s">
        <v>192</v>
      </c>
      <c r="J85" s="3" t="s">
        <v>192</v>
      </c>
      <c r="K85" s="3" t="s">
        <v>192</v>
      </c>
      <c r="L85" s="3" t="s">
        <v>192</v>
      </c>
      <c r="M85" s="3" t="s">
        <v>192</v>
      </c>
      <c r="N85" s="3" t="s">
        <v>192</v>
      </c>
      <c r="O85" s="3" t="s">
        <v>192</v>
      </c>
      <c r="P85" s="3" t="s">
        <v>192</v>
      </c>
      <c r="Q85" s="3" t="s">
        <v>192</v>
      </c>
      <c r="R85" s="3" t="s">
        <v>192</v>
      </c>
      <c r="S85" s="3" t="s">
        <v>192</v>
      </c>
      <c r="T85" s="3" t="s">
        <v>192</v>
      </c>
      <c r="U85" s="3" t="s">
        <v>192</v>
      </c>
      <c r="V85" s="3" t="s">
        <v>192</v>
      </c>
      <c r="W85" s="3" t="s">
        <v>192</v>
      </c>
      <c r="X85" s="3" t="s">
        <v>192</v>
      </c>
      <c r="Y85" s="3" t="s">
        <v>192</v>
      </c>
      <c r="Z85" s="3" t="s">
        <v>192</v>
      </c>
      <c r="AA85" s="3" t="s">
        <v>192</v>
      </c>
      <c r="AB85" s="3" t="s">
        <v>192</v>
      </c>
      <c r="AC85" s="3" t="s">
        <v>192</v>
      </c>
      <c r="AD85" s="3" t="s">
        <v>192</v>
      </c>
      <c r="AE85" s="3" t="s">
        <v>192</v>
      </c>
      <c r="AF85" s="3" t="s">
        <v>192</v>
      </c>
      <c r="AG85" s="3" t="s">
        <v>192</v>
      </c>
      <c r="AH85" s="3" t="s">
        <v>192</v>
      </c>
      <c r="AI85" s="3" t="s">
        <v>192</v>
      </c>
      <c r="AJ85" s="3" t="s">
        <v>192</v>
      </c>
      <c r="AK85" s="3" t="s">
        <v>192</v>
      </c>
      <c r="AL85" s="3" t="s">
        <v>192</v>
      </c>
      <c r="AM85" s="3" t="s">
        <v>192</v>
      </c>
      <c r="AN85" s="3" t="s">
        <v>192</v>
      </c>
      <c r="AO85" s="3" t="s">
        <v>192</v>
      </c>
      <c r="AP85" s="3" t="s">
        <v>192</v>
      </c>
      <c r="AQ85" s="3">
        <v>1</v>
      </c>
      <c r="AR85" s="3" t="s">
        <v>192</v>
      </c>
      <c r="AS85" s="3" t="s">
        <v>192</v>
      </c>
      <c r="AT85" s="3" t="s">
        <v>192</v>
      </c>
      <c r="AU85" s="3" t="s">
        <v>192</v>
      </c>
      <c r="AV85" s="3" t="s">
        <v>192</v>
      </c>
      <c r="AW85" s="3" t="s">
        <v>192</v>
      </c>
      <c r="AX85" s="3" t="s">
        <v>192</v>
      </c>
      <c r="AY85" s="3" t="s">
        <v>192</v>
      </c>
      <c r="AZ85" s="3">
        <v>1</v>
      </c>
      <c r="BA85" s="3" t="s">
        <v>192</v>
      </c>
      <c r="BB85" s="3" t="s">
        <v>192</v>
      </c>
      <c r="BC85" s="3" t="s">
        <v>192</v>
      </c>
      <c r="BD85" s="3" t="s">
        <v>192</v>
      </c>
      <c r="BE85" s="3">
        <v>1</v>
      </c>
      <c r="BF85" s="3">
        <v>1</v>
      </c>
      <c r="BG85" s="3" t="s">
        <v>192</v>
      </c>
      <c r="BH85" s="3">
        <v>1</v>
      </c>
      <c r="BI85" s="3" t="s">
        <v>192</v>
      </c>
      <c r="BJ85" s="3" t="s">
        <v>192</v>
      </c>
      <c r="BK85" s="3" t="s">
        <v>192</v>
      </c>
      <c r="BL85" s="3">
        <v>2</v>
      </c>
      <c r="BM85" s="3" t="s">
        <v>192</v>
      </c>
      <c r="BN85" s="3" t="s">
        <v>192</v>
      </c>
      <c r="BO85" s="3" t="s">
        <v>192</v>
      </c>
      <c r="BP85" s="3">
        <v>1</v>
      </c>
      <c r="BQ85" s="3" t="s">
        <v>192</v>
      </c>
      <c r="BR85" s="3" t="s">
        <v>192</v>
      </c>
      <c r="BS85" s="3">
        <v>2</v>
      </c>
      <c r="BT85" s="3" t="s">
        <v>192</v>
      </c>
      <c r="BU85" s="3" t="s">
        <v>192</v>
      </c>
      <c r="BV85" s="3" t="s">
        <v>192</v>
      </c>
      <c r="BW85" s="3" t="s">
        <v>192</v>
      </c>
      <c r="BX85" s="3" t="s">
        <v>192</v>
      </c>
      <c r="BY85" s="3" t="s">
        <v>192</v>
      </c>
      <c r="BZ85" s="3" t="s">
        <v>192</v>
      </c>
      <c r="CA85" s="3" t="s">
        <v>192</v>
      </c>
      <c r="CB85" s="3" t="s">
        <v>192</v>
      </c>
      <c r="CC85" s="3" t="s">
        <v>192</v>
      </c>
      <c r="CD85" s="3" t="s">
        <v>192</v>
      </c>
      <c r="CE85" s="3" t="s">
        <v>192</v>
      </c>
      <c r="CF85" s="3" t="s">
        <v>192</v>
      </c>
      <c r="CG85" s="3">
        <v>2</v>
      </c>
      <c r="CH85" s="3" t="s">
        <v>192</v>
      </c>
      <c r="CI85" s="3" t="s">
        <v>192</v>
      </c>
      <c r="CJ85" s="3" t="s">
        <v>192</v>
      </c>
      <c r="CK85" s="3" t="s">
        <v>192</v>
      </c>
      <c r="CL85" s="3" t="s">
        <v>192</v>
      </c>
      <c r="CM85" s="3" t="s">
        <v>192</v>
      </c>
      <c r="CN85" s="3" t="s">
        <v>192</v>
      </c>
      <c r="CO85" s="3" t="s">
        <v>192</v>
      </c>
      <c r="CP85" s="3" t="s">
        <v>192</v>
      </c>
      <c r="CQ85" s="3" t="s">
        <v>192</v>
      </c>
      <c r="CR85" s="3" t="s">
        <v>192</v>
      </c>
      <c r="CS85" s="3" t="s">
        <v>192</v>
      </c>
      <c r="CT85" s="1">
        <f>SUM(Table7[[#This Row],[Acyl_amino_acids]:[T3PKS]])</f>
        <v>16</v>
      </c>
      <c r="CU85" s="3" t="s">
        <v>320</v>
      </c>
      <c r="CW85" s="1">
        <f>Table7[[#This Row],[NRPS]]</f>
        <v>2</v>
      </c>
      <c r="CX85" s="1">
        <f>SUM(CP85,CR85,CS85,Table7[[#This Row],[T1PKS, T3PKS]])</f>
        <v>0</v>
      </c>
      <c r="CY85" s="1">
        <f t="shared" si="1"/>
        <v>2</v>
      </c>
      <c r="CZ85" s="1">
        <f>Table7[[#This Row],[Terpene]]</f>
        <v>2</v>
      </c>
      <c r="DA85" s="1">
        <f>SUM(Table7[[#This Row],[Thiopeptide]],BH85,BF85,BE85,BC85,AZ85,AX85,AW85,AJ85,AH85,N85,L85,J85,H85,I85,K85,R85,Q85,Table7[[#This Row],[Cyanobactin, LAP]])</f>
        <v>8</v>
      </c>
      <c r="DB85" s="1">
        <f>SUM(CO85,CN85,CL85,CK85,CJ85,CI85,CH85,CF85,CE85,CD85,CB85,CA85,BZ85,BY85,BX85,BW85,BV85,BT85,BR85,BQ85,BP85,BO85,BM85,BK85,BJ85,BI85,BG85,BD85,BB85,BA85,AY85,AV85,AU85,AT85,AS85,AR85,AQ85,AP85,AO85,AN85,AM85,AL85,AK85,AG85,AF85,AE85,AD85,AC85,AB85,AA85,Z85,Y85,X85,W85,V85,U85,T85,S85,P85,O85,M85,Table7[[#This Row],[Acyl_amino_acids]],E85,F85,G85,)</f>
        <v>2</v>
      </c>
    </row>
    <row r="86" spans="1:106" x14ac:dyDescent="0.25">
      <c r="A86" s="9" t="s">
        <v>631</v>
      </c>
      <c r="B86" s="1" t="s">
        <v>435</v>
      </c>
      <c r="C86" s="1" t="s">
        <v>324</v>
      </c>
      <c r="D86" s="1" t="s">
        <v>192</v>
      </c>
      <c r="E86" s="1" t="s">
        <v>192</v>
      </c>
      <c r="F86" s="1" t="s">
        <v>192</v>
      </c>
      <c r="G86" s="1" t="s">
        <v>192</v>
      </c>
      <c r="H86" s="1">
        <v>1</v>
      </c>
      <c r="I86" s="1" t="s">
        <v>192</v>
      </c>
      <c r="J86" s="1" t="s">
        <v>192</v>
      </c>
      <c r="K86" s="1" t="s">
        <v>192</v>
      </c>
      <c r="L86" s="1">
        <v>2</v>
      </c>
      <c r="M86" s="1">
        <v>1</v>
      </c>
      <c r="N86" s="1" t="s">
        <v>192</v>
      </c>
      <c r="O86" s="1" t="s">
        <v>192</v>
      </c>
      <c r="P86" s="1" t="s">
        <v>192</v>
      </c>
      <c r="Q86" s="1" t="s">
        <v>192</v>
      </c>
      <c r="R86" s="1" t="s">
        <v>192</v>
      </c>
      <c r="S86" s="1" t="s">
        <v>192</v>
      </c>
      <c r="T86" s="1">
        <v>2</v>
      </c>
      <c r="U86" s="1" t="s">
        <v>192</v>
      </c>
      <c r="V86" s="1" t="s">
        <v>192</v>
      </c>
      <c r="W86" s="1" t="s">
        <v>192</v>
      </c>
      <c r="X86" s="1" t="s">
        <v>192</v>
      </c>
      <c r="Y86" s="1" t="s">
        <v>192</v>
      </c>
      <c r="Z86" s="1" t="s">
        <v>192</v>
      </c>
      <c r="AA86" s="1" t="s">
        <v>192</v>
      </c>
      <c r="AB86" s="1">
        <v>1</v>
      </c>
      <c r="AC86" s="1" t="s">
        <v>192</v>
      </c>
      <c r="AD86" s="1" t="s">
        <v>192</v>
      </c>
      <c r="AE86" s="1" t="s">
        <v>192</v>
      </c>
      <c r="AF86" s="1" t="s">
        <v>192</v>
      </c>
      <c r="AG86" s="1" t="s">
        <v>192</v>
      </c>
      <c r="AH86" s="1" t="s">
        <v>192</v>
      </c>
      <c r="AI86" s="1" t="s">
        <v>192</v>
      </c>
      <c r="AJ86" s="1" t="s">
        <v>192</v>
      </c>
      <c r="AK86" s="1" t="s">
        <v>192</v>
      </c>
      <c r="AL86" s="1" t="s">
        <v>192</v>
      </c>
      <c r="AM86" s="1" t="s">
        <v>192</v>
      </c>
      <c r="AN86" s="1" t="s">
        <v>192</v>
      </c>
      <c r="AO86" s="1" t="s">
        <v>192</v>
      </c>
      <c r="AP86" s="1" t="s">
        <v>192</v>
      </c>
      <c r="AQ86" s="1">
        <v>2</v>
      </c>
      <c r="AR86" s="1" t="s">
        <v>192</v>
      </c>
      <c r="AS86" s="1" t="s">
        <v>192</v>
      </c>
      <c r="AT86" s="1" t="s">
        <v>192</v>
      </c>
      <c r="AU86" s="1" t="s">
        <v>192</v>
      </c>
      <c r="AV86" s="1" t="s">
        <v>192</v>
      </c>
      <c r="AW86" s="1" t="s">
        <v>192</v>
      </c>
      <c r="AX86" s="1" t="s">
        <v>192</v>
      </c>
      <c r="AY86" s="1" t="s">
        <v>192</v>
      </c>
      <c r="AZ86" s="1" t="s">
        <v>192</v>
      </c>
      <c r="BA86" s="1" t="s">
        <v>192</v>
      </c>
      <c r="BB86" s="1" t="s">
        <v>192</v>
      </c>
      <c r="BC86" s="1" t="s">
        <v>192</v>
      </c>
      <c r="BD86" s="1" t="s">
        <v>192</v>
      </c>
      <c r="BE86" s="1" t="s">
        <v>192</v>
      </c>
      <c r="BF86" s="1" t="s">
        <v>192</v>
      </c>
      <c r="BG86" s="1" t="s">
        <v>192</v>
      </c>
      <c r="BH86" s="1" t="s">
        <v>192</v>
      </c>
      <c r="BI86" s="1" t="s">
        <v>192</v>
      </c>
      <c r="BJ86" s="1">
        <v>1</v>
      </c>
      <c r="BK86" s="1" t="s">
        <v>192</v>
      </c>
      <c r="BL86" s="1">
        <v>2</v>
      </c>
      <c r="BM86" s="1" t="s">
        <v>192</v>
      </c>
      <c r="BN86" s="1" t="s">
        <v>192</v>
      </c>
      <c r="BO86" s="1" t="s">
        <v>192</v>
      </c>
      <c r="BP86" s="1" t="s">
        <v>192</v>
      </c>
      <c r="BQ86" s="1" t="s">
        <v>192</v>
      </c>
      <c r="BR86" s="1" t="s">
        <v>192</v>
      </c>
      <c r="BS86" s="1">
        <v>3</v>
      </c>
      <c r="BT86" s="1" t="s">
        <v>192</v>
      </c>
      <c r="BU86" s="1" t="s">
        <v>192</v>
      </c>
      <c r="BV86" s="1" t="s">
        <v>192</v>
      </c>
      <c r="BW86" s="1" t="s">
        <v>192</v>
      </c>
      <c r="BX86" s="1" t="s">
        <v>192</v>
      </c>
      <c r="BY86" s="1" t="s">
        <v>192</v>
      </c>
      <c r="BZ86" s="1" t="s">
        <v>192</v>
      </c>
      <c r="CA86" s="1" t="s">
        <v>192</v>
      </c>
      <c r="CB86" s="1" t="s">
        <v>192</v>
      </c>
      <c r="CC86" s="1" t="s">
        <v>192</v>
      </c>
      <c r="CD86" s="1" t="s">
        <v>192</v>
      </c>
      <c r="CE86" s="1" t="s">
        <v>192</v>
      </c>
      <c r="CF86" s="1" t="s">
        <v>192</v>
      </c>
      <c r="CG86" s="1">
        <v>4</v>
      </c>
      <c r="CH86" s="1" t="s">
        <v>192</v>
      </c>
      <c r="CI86" s="1" t="s">
        <v>192</v>
      </c>
      <c r="CJ86" s="1" t="s">
        <v>192</v>
      </c>
      <c r="CK86" s="1" t="s">
        <v>192</v>
      </c>
      <c r="CL86" s="1" t="s">
        <v>192</v>
      </c>
      <c r="CM86" s="1" t="s">
        <v>192</v>
      </c>
      <c r="CN86" s="1" t="s">
        <v>192</v>
      </c>
      <c r="CO86" s="1">
        <v>1</v>
      </c>
      <c r="CP86" s="1" t="s">
        <v>192</v>
      </c>
      <c r="CQ86" s="1" t="s">
        <v>192</v>
      </c>
      <c r="CR86" s="1" t="s">
        <v>192</v>
      </c>
      <c r="CS86" s="1" t="s">
        <v>192</v>
      </c>
      <c r="CT86" s="1">
        <f>SUM(Table7[[#This Row],[Acyl_amino_acids]:[T3PKS]])</f>
        <v>20</v>
      </c>
      <c r="CU86" s="2" t="s">
        <v>571</v>
      </c>
      <c r="CW86" s="1">
        <f>Table7[[#This Row],[NRPS]]</f>
        <v>2</v>
      </c>
      <c r="CX86" s="1">
        <f>SUM(CP86,CR86,CS86,Table7[[#This Row],[T1PKS, T3PKS]])</f>
        <v>0</v>
      </c>
      <c r="CY86" s="1">
        <f t="shared" si="1"/>
        <v>3</v>
      </c>
      <c r="CZ86" s="1">
        <f>Table7[[#This Row],[Terpene]]</f>
        <v>4</v>
      </c>
      <c r="DA86" s="1">
        <f>SUM(Table7[[#This Row],[Thiopeptide]],BH86,BF86,BE86,BC86,AZ86,AX86,AW86,AJ86,AH86,N86,L86,J86,H86,I86,K86,R86,Q86,Table7[[#This Row],[Cyanobactin, LAP]])</f>
        <v>3</v>
      </c>
      <c r="DB86" s="1">
        <f>SUM(CO86,CN86,CL86,CK86,CJ86,CI86,CH86,CF86,CE86,CD86,CB86,CA86,BZ86,BY86,BX86,BW86,BV86,BT86,BR86,BQ86,BP86,BO86,BM86,BK86,BJ86,BI86,BG86,BD86,BB86,BA86,AY86,AV86,AU86,AT86,AS86,AR86,AQ86,AP86,AO86,AN86,AM86,AL86,AK86,AG86,AF86,AE86,AD86,AC86,AB86,AA86,Z86,Y86,X86,W86,V86,U86,T86,S86,P86,O86,M86,Table7[[#This Row],[Acyl_amino_acids]],E86,F86,G86,)</f>
        <v>8</v>
      </c>
    </row>
    <row r="87" spans="1:106" x14ac:dyDescent="0.25">
      <c r="A87" s="9" t="s">
        <v>665</v>
      </c>
      <c r="B87" s="1" t="s">
        <v>435</v>
      </c>
      <c r="C87" s="1" t="s">
        <v>611</v>
      </c>
      <c r="D87" s="3" t="s">
        <v>192</v>
      </c>
      <c r="E87" s="3" t="s">
        <v>192</v>
      </c>
      <c r="F87" s="3" t="s">
        <v>192</v>
      </c>
      <c r="G87" s="3" t="s">
        <v>192</v>
      </c>
      <c r="H87" s="3">
        <v>1</v>
      </c>
      <c r="I87" s="3" t="s">
        <v>192</v>
      </c>
      <c r="J87" s="3" t="s">
        <v>192</v>
      </c>
      <c r="K87" s="3" t="s">
        <v>192</v>
      </c>
      <c r="L87" s="3">
        <v>1</v>
      </c>
      <c r="M87" s="3" t="s">
        <v>192</v>
      </c>
      <c r="N87" s="3" t="s">
        <v>192</v>
      </c>
      <c r="O87" s="3" t="s">
        <v>192</v>
      </c>
      <c r="P87" s="3" t="s">
        <v>192</v>
      </c>
      <c r="Q87" s="3" t="s">
        <v>192</v>
      </c>
      <c r="R87" s="3" t="s">
        <v>192</v>
      </c>
      <c r="S87" s="3" t="s">
        <v>192</v>
      </c>
      <c r="T87" s="3" t="s">
        <v>192</v>
      </c>
      <c r="U87" s="3" t="s">
        <v>192</v>
      </c>
      <c r="V87" s="3" t="s">
        <v>192</v>
      </c>
      <c r="W87" s="3" t="s">
        <v>192</v>
      </c>
      <c r="X87" s="3" t="s">
        <v>192</v>
      </c>
      <c r="Y87" s="3" t="s">
        <v>192</v>
      </c>
      <c r="Z87" s="3" t="s">
        <v>192</v>
      </c>
      <c r="AA87" s="3" t="s">
        <v>192</v>
      </c>
      <c r="AB87" s="3">
        <v>1</v>
      </c>
      <c r="AC87" s="3" t="s">
        <v>192</v>
      </c>
      <c r="AD87" s="3" t="s">
        <v>192</v>
      </c>
      <c r="AE87" s="3" t="s">
        <v>192</v>
      </c>
      <c r="AF87" s="3" t="s">
        <v>192</v>
      </c>
      <c r="AG87" s="3" t="s">
        <v>192</v>
      </c>
      <c r="AH87" s="3" t="s">
        <v>192</v>
      </c>
      <c r="AI87" s="3" t="s">
        <v>192</v>
      </c>
      <c r="AJ87" s="3" t="s">
        <v>192</v>
      </c>
      <c r="AK87" s="3" t="s">
        <v>192</v>
      </c>
      <c r="AL87" s="3">
        <v>1</v>
      </c>
      <c r="AM87" s="3" t="s">
        <v>192</v>
      </c>
      <c r="AN87" s="3" t="s">
        <v>192</v>
      </c>
      <c r="AO87" s="3" t="s">
        <v>192</v>
      </c>
      <c r="AP87" s="3" t="s">
        <v>192</v>
      </c>
      <c r="AQ87" s="3">
        <v>1</v>
      </c>
      <c r="AR87" s="3" t="s">
        <v>192</v>
      </c>
      <c r="AS87" s="3" t="s">
        <v>192</v>
      </c>
      <c r="AT87" s="3" t="s">
        <v>192</v>
      </c>
      <c r="AU87" s="3" t="s">
        <v>192</v>
      </c>
      <c r="AV87" s="3" t="s">
        <v>192</v>
      </c>
      <c r="AW87" s="3" t="s">
        <v>192</v>
      </c>
      <c r="AX87" s="3" t="s">
        <v>192</v>
      </c>
      <c r="AY87" s="3" t="s">
        <v>192</v>
      </c>
      <c r="AZ87" s="3" t="s">
        <v>192</v>
      </c>
      <c r="BA87" s="3" t="s">
        <v>192</v>
      </c>
      <c r="BB87" s="3" t="s">
        <v>192</v>
      </c>
      <c r="BC87" s="3">
        <v>1</v>
      </c>
      <c r="BD87" s="3" t="s">
        <v>192</v>
      </c>
      <c r="BE87" s="3" t="s">
        <v>192</v>
      </c>
      <c r="BF87" s="3" t="s">
        <v>192</v>
      </c>
      <c r="BG87" s="3" t="s">
        <v>192</v>
      </c>
      <c r="BH87" s="3" t="s">
        <v>192</v>
      </c>
      <c r="BI87" s="3" t="s">
        <v>192</v>
      </c>
      <c r="BJ87" s="3" t="s">
        <v>192</v>
      </c>
      <c r="BK87" s="3" t="s">
        <v>192</v>
      </c>
      <c r="BL87" s="3">
        <v>4</v>
      </c>
      <c r="BM87" s="3" t="s">
        <v>192</v>
      </c>
      <c r="BN87" s="3" t="s">
        <v>192</v>
      </c>
      <c r="BO87" s="3" t="s">
        <v>192</v>
      </c>
      <c r="BP87" s="3" t="s">
        <v>192</v>
      </c>
      <c r="BQ87" s="3" t="s">
        <v>192</v>
      </c>
      <c r="BR87" s="3" t="s">
        <v>192</v>
      </c>
      <c r="BS87" s="3">
        <v>4</v>
      </c>
      <c r="BT87" s="3" t="s">
        <v>192</v>
      </c>
      <c r="BU87" s="3" t="s">
        <v>192</v>
      </c>
      <c r="BV87" s="3" t="s">
        <v>192</v>
      </c>
      <c r="BW87" s="3" t="s">
        <v>192</v>
      </c>
      <c r="BX87" s="3" t="s">
        <v>192</v>
      </c>
      <c r="BY87" s="3" t="s">
        <v>192</v>
      </c>
      <c r="BZ87" s="3" t="s">
        <v>192</v>
      </c>
      <c r="CA87" s="3" t="s">
        <v>192</v>
      </c>
      <c r="CB87" s="3" t="s">
        <v>192</v>
      </c>
      <c r="CC87" s="3" t="s">
        <v>192</v>
      </c>
      <c r="CD87" s="3" t="s">
        <v>192</v>
      </c>
      <c r="CE87" s="3" t="s">
        <v>192</v>
      </c>
      <c r="CF87" s="3" t="s">
        <v>192</v>
      </c>
      <c r="CG87" s="3">
        <v>4</v>
      </c>
      <c r="CH87" s="3" t="s">
        <v>192</v>
      </c>
      <c r="CI87" s="3" t="s">
        <v>192</v>
      </c>
      <c r="CJ87" s="3" t="s">
        <v>192</v>
      </c>
      <c r="CK87" s="3" t="s">
        <v>192</v>
      </c>
      <c r="CL87" s="3" t="s">
        <v>192</v>
      </c>
      <c r="CM87" s="3" t="s">
        <v>192</v>
      </c>
      <c r="CN87" s="3" t="s">
        <v>192</v>
      </c>
      <c r="CO87" s="3" t="s">
        <v>192</v>
      </c>
      <c r="CP87" s="3" t="s">
        <v>192</v>
      </c>
      <c r="CQ87" s="3" t="s">
        <v>192</v>
      </c>
      <c r="CR87" s="3" t="s">
        <v>192</v>
      </c>
      <c r="CS87" s="3" t="s">
        <v>192</v>
      </c>
      <c r="CT87" s="1">
        <f>SUM(Table7[[#This Row],[Acyl_amino_acids]:[T3PKS]])</f>
        <v>18</v>
      </c>
      <c r="CU87" s="2" t="s">
        <v>613</v>
      </c>
      <c r="CW87" s="1">
        <f>Table7[[#This Row],[NRPS]]</f>
        <v>4</v>
      </c>
      <c r="CX87" s="1">
        <f>SUM(CP87,CR87,CS87,Table7[[#This Row],[T1PKS, T3PKS]])</f>
        <v>0</v>
      </c>
      <c r="CY87" s="1">
        <f t="shared" si="1"/>
        <v>4</v>
      </c>
      <c r="CZ87" s="1">
        <f>Table7[[#This Row],[Terpene]]</f>
        <v>4</v>
      </c>
      <c r="DA87" s="1">
        <f>SUM(Table7[[#This Row],[Thiopeptide]],BH87,BF87,BE87,BC87,AZ87,AX87,AW87,AJ87,AH87,N87,L87,J87,H87,I87,K87,R87,Q87,Table7[[#This Row],[Cyanobactin, LAP]])</f>
        <v>3</v>
      </c>
      <c r="DB87" s="1">
        <f>SUM(CO87,CN87,CL87,CK87,CJ87,CI87,CH87,CF87,CE87,CD87,CB87,CA87,BZ87,BY87,BX87,BW87,BV87,BT87,BR87,BQ87,BP87,BO87,BM87,BK87,BJ87,BI87,BG87,BD87,BB87,BA87,AY87,AV87,AU87,AT87,AS87,AR87,AQ87,AP87,AO87,AN87,AM87,AL87,AK87,AG87,AF87,AE87,AD87,AC87,AB87,AA87,Z87,Y87,X87,W87,V87,U87,T87,S87,P87,O87,M87,Table7[[#This Row],[Acyl_amino_acids]],E87,F87,G87,)</f>
        <v>3</v>
      </c>
    </row>
    <row r="88" spans="1:106" x14ac:dyDescent="0.25">
      <c r="A88" s="9" t="s">
        <v>786</v>
      </c>
      <c r="B88" s="1" t="s">
        <v>435</v>
      </c>
      <c r="C88" s="1" t="s">
        <v>328</v>
      </c>
      <c r="D88" s="3" t="s">
        <v>192</v>
      </c>
      <c r="E88" s="3" t="s">
        <v>192</v>
      </c>
      <c r="F88" s="3" t="s">
        <v>192</v>
      </c>
      <c r="G88" s="3" t="s">
        <v>192</v>
      </c>
      <c r="H88" s="3">
        <v>2</v>
      </c>
      <c r="I88" s="3" t="s">
        <v>192</v>
      </c>
      <c r="J88" s="3" t="s">
        <v>192</v>
      </c>
      <c r="K88" s="3" t="s">
        <v>192</v>
      </c>
      <c r="L88" s="3">
        <v>1</v>
      </c>
      <c r="M88" s="3" t="s">
        <v>192</v>
      </c>
      <c r="N88" s="3" t="s">
        <v>192</v>
      </c>
      <c r="O88" s="3" t="s">
        <v>192</v>
      </c>
      <c r="P88" s="3" t="s">
        <v>192</v>
      </c>
      <c r="Q88" s="3" t="s">
        <v>192</v>
      </c>
      <c r="R88" s="3" t="s">
        <v>192</v>
      </c>
      <c r="S88" s="3" t="s">
        <v>192</v>
      </c>
      <c r="T88" s="3" t="s">
        <v>192</v>
      </c>
      <c r="U88" s="3" t="s">
        <v>192</v>
      </c>
      <c r="V88" s="3" t="s">
        <v>192</v>
      </c>
      <c r="W88" s="3" t="s">
        <v>192</v>
      </c>
      <c r="X88" s="3" t="s">
        <v>192</v>
      </c>
      <c r="Y88" s="3" t="s">
        <v>192</v>
      </c>
      <c r="Z88" s="3" t="s">
        <v>192</v>
      </c>
      <c r="AA88" s="3">
        <v>1</v>
      </c>
      <c r="AB88" s="3" t="s">
        <v>192</v>
      </c>
      <c r="AC88" s="3" t="s">
        <v>192</v>
      </c>
      <c r="AD88" s="3" t="s">
        <v>192</v>
      </c>
      <c r="AE88" s="3" t="s">
        <v>192</v>
      </c>
      <c r="AF88" s="3" t="s">
        <v>192</v>
      </c>
      <c r="AG88" s="3" t="s">
        <v>192</v>
      </c>
      <c r="AH88" s="3" t="s">
        <v>192</v>
      </c>
      <c r="AI88" s="3" t="s">
        <v>192</v>
      </c>
      <c r="AJ88" s="3" t="s">
        <v>192</v>
      </c>
      <c r="AK88" s="3" t="s">
        <v>192</v>
      </c>
      <c r="AL88" s="3" t="s">
        <v>192</v>
      </c>
      <c r="AM88" s="3" t="s">
        <v>192</v>
      </c>
      <c r="AN88" s="3" t="s">
        <v>192</v>
      </c>
      <c r="AO88" s="3" t="s">
        <v>192</v>
      </c>
      <c r="AP88" s="3" t="s">
        <v>192</v>
      </c>
      <c r="AQ88" s="3">
        <v>1</v>
      </c>
      <c r="AR88" s="3" t="s">
        <v>192</v>
      </c>
      <c r="AS88" s="3" t="s">
        <v>192</v>
      </c>
      <c r="AT88" s="3" t="s">
        <v>192</v>
      </c>
      <c r="AU88" s="3" t="s">
        <v>192</v>
      </c>
      <c r="AV88" s="3" t="s">
        <v>192</v>
      </c>
      <c r="AW88" s="3">
        <v>1</v>
      </c>
      <c r="AX88" s="3" t="s">
        <v>192</v>
      </c>
      <c r="AY88" s="3" t="s">
        <v>192</v>
      </c>
      <c r="AZ88" s="3" t="s">
        <v>192</v>
      </c>
      <c r="BA88" s="3" t="s">
        <v>192</v>
      </c>
      <c r="BB88" s="3" t="s">
        <v>192</v>
      </c>
      <c r="BC88" s="3" t="s">
        <v>192</v>
      </c>
      <c r="BD88" s="3">
        <v>1</v>
      </c>
      <c r="BE88" s="3" t="s">
        <v>192</v>
      </c>
      <c r="BF88" s="3">
        <v>1</v>
      </c>
      <c r="BG88" s="3" t="s">
        <v>192</v>
      </c>
      <c r="BH88" s="3" t="s">
        <v>192</v>
      </c>
      <c r="BI88" s="3" t="s">
        <v>192</v>
      </c>
      <c r="BJ88" s="3" t="s">
        <v>192</v>
      </c>
      <c r="BK88" s="3" t="s">
        <v>192</v>
      </c>
      <c r="BL88" s="3">
        <v>2</v>
      </c>
      <c r="BM88" s="3" t="s">
        <v>192</v>
      </c>
      <c r="BN88" s="3" t="s">
        <v>192</v>
      </c>
      <c r="BO88" s="3" t="s">
        <v>192</v>
      </c>
      <c r="BP88" s="3" t="s">
        <v>192</v>
      </c>
      <c r="BQ88" s="3" t="s">
        <v>192</v>
      </c>
      <c r="BR88" s="3" t="s">
        <v>192</v>
      </c>
      <c r="BS88" s="3">
        <v>3</v>
      </c>
      <c r="BT88" s="3" t="s">
        <v>192</v>
      </c>
      <c r="BU88" s="3" t="s">
        <v>192</v>
      </c>
      <c r="BV88" s="3" t="s">
        <v>192</v>
      </c>
      <c r="BW88" s="3" t="s">
        <v>192</v>
      </c>
      <c r="BX88" s="3" t="s">
        <v>192</v>
      </c>
      <c r="BY88" s="3" t="s">
        <v>192</v>
      </c>
      <c r="BZ88" s="3" t="s">
        <v>192</v>
      </c>
      <c r="CA88" s="3" t="s">
        <v>192</v>
      </c>
      <c r="CB88" s="3" t="s">
        <v>192</v>
      </c>
      <c r="CC88" s="3" t="s">
        <v>192</v>
      </c>
      <c r="CD88" s="3" t="s">
        <v>192</v>
      </c>
      <c r="CE88" s="3" t="s">
        <v>192</v>
      </c>
      <c r="CF88" s="3" t="s">
        <v>192</v>
      </c>
      <c r="CG88" s="3">
        <v>4</v>
      </c>
      <c r="CH88" s="3" t="s">
        <v>192</v>
      </c>
      <c r="CI88" s="3" t="s">
        <v>192</v>
      </c>
      <c r="CJ88" s="3" t="s">
        <v>192</v>
      </c>
      <c r="CK88" s="3" t="s">
        <v>192</v>
      </c>
      <c r="CL88" s="3">
        <v>1</v>
      </c>
      <c r="CM88" s="3" t="s">
        <v>192</v>
      </c>
      <c r="CN88" s="3" t="s">
        <v>192</v>
      </c>
      <c r="CO88" s="3" t="s">
        <v>192</v>
      </c>
      <c r="CP88" s="3" t="s">
        <v>192</v>
      </c>
      <c r="CQ88" s="3" t="s">
        <v>192</v>
      </c>
      <c r="CR88" s="3" t="s">
        <v>192</v>
      </c>
      <c r="CS88" s="3" t="s">
        <v>192</v>
      </c>
      <c r="CT88" s="1">
        <f>SUM(Table7[[#This Row],[Acyl_amino_acids]:[T3PKS]])</f>
        <v>18</v>
      </c>
      <c r="CU88" s="9" t="s">
        <v>584</v>
      </c>
      <c r="CW88" s="1">
        <f>Table7[[#This Row],[NRPS]]</f>
        <v>2</v>
      </c>
      <c r="CX88" s="1">
        <f>SUM(CP88,CR88,CS88,Table7[[#This Row],[T1PKS, T3PKS]])</f>
        <v>0</v>
      </c>
      <c r="CY88" s="1">
        <f t="shared" si="1"/>
        <v>3</v>
      </c>
      <c r="CZ88" s="1">
        <f>Table7[[#This Row],[Terpene]]</f>
        <v>4</v>
      </c>
      <c r="DA88" s="1">
        <f>SUM(Table7[[#This Row],[Thiopeptide]],BH88,BF88,BE88,BC88,AZ88,AX88,AW88,AJ88,AH88,N88,L88,J88,H88,I88,K88,R88,Q88,Table7[[#This Row],[Cyanobactin, LAP]])</f>
        <v>5</v>
      </c>
      <c r="DB88" s="1">
        <f>SUM(CO88,CN88,CL88,CK88,CJ88,CI88,CH88,CF88,CE88,CD88,CB88,CA88,BZ88,BY88,BX88,BW88,BV88,BT88,BR88,BQ88,BP88,BO88,BM88,BK88,BJ88,BI88,BG88,BD88,BB88,BA88,AY88,AV88,AU88,AT88,AS88,AR88,AQ88,AP88,AO88,AN88,AM88,AL88,AK88,AG88,AF88,AE88,AD88,AC88,AB88,AA88,Z88,Y88,X88,W88,V88,U88,T88,S88,P88,O88,M88,Table7[[#This Row],[Acyl_amino_acids]],E88,F88,G88,)</f>
        <v>4</v>
      </c>
    </row>
    <row r="89" spans="1:106" x14ac:dyDescent="0.25">
      <c r="A89" s="9" t="s">
        <v>791</v>
      </c>
      <c r="B89" s="1" t="s">
        <v>435</v>
      </c>
      <c r="C89" s="1" t="s">
        <v>329</v>
      </c>
      <c r="D89" s="3" t="s">
        <v>192</v>
      </c>
      <c r="E89" s="3" t="s">
        <v>192</v>
      </c>
      <c r="F89" s="3" t="s">
        <v>192</v>
      </c>
      <c r="G89" s="3" t="s">
        <v>192</v>
      </c>
      <c r="H89" s="3">
        <v>3</v>
      </c>
      <c r="I89" s="3" t="s">
        <v>192</v>
      </c>
      <c r="J89" s="3" t="s">
        <v>192</v>
      </c>
      <c r="K89" s="3" t="s">
        <v>192</v>
      </c>
      <c r="L89" s="3" t="s">
        <v>192</v>
      </c>
      <c r="M89" s="3" t="s">
        <v>192</v>
      </c>
      <c r="N89" s="3" t="s">
        <v>192</v>
      </c>
      <c r="O89" s="3" t="s">
        <v>192</v>
      </c>
      <c r="P89" s="3" t="s">
        <v>192</v>
      </c>
      <c r="Q89" s="3" t="s">
        <v>192</v>
      </c>
      <c r="R89" s="3" t="s">
        <v>192</v>
      </c>
      <c r="S89" s="3" t="s">
        <v>192</v>
      </c>
      <c r="T89" s="3" t="s">
        <v>192</v>
      </c>
      <c r="U89" s="3" t="s">
        <v>192</v>
      </c>
      <c r="V89" s="3" t="s">
        <v>192</v>
      </c>
      <c r="W89" s="3" t="s">
        <v>192</v>
      </c>
      <c r="X89" s="3" t="s">
        <v>192</v>
      </c>
      <c r="Y89" s="3" t="s">
        <v>192</v>
      </c>
      <c r="Z89" s="3" t="s">
        <v>192</v>
      </c>
      <c r="AA89" s="3" t="s">
        <v>192</v>
      </c>
      <c r="AB89" s="3" t="s">
        <v>192</v>
      </c>
      <c r="AC89" s="3" t="s">
        <v>192</v>
      </c>
      <c r="AD89" s="3" t="s">
        <v>192</v>
      </c>
      <c r="AE89" s="3" t="s">
        <v>192</v>
      </c>
      <c r="AF89" s="3" t="s">
        <v>192</v>
      </c>
      <c r="AG89" s="3" t="s">
        <v>192</v>
      </c>
      <c r="AH89" s="3" t="s">
        <v>192</v>
      </c>
      <c r="AI89" s="3" t="s">
        <v>192</v>
      </c>
      <c r="AJ89" s="3" t="s">
        <v>192</v>
      </c>
      <c r="AK89" s="3" t="s">
        <v>192</v>
      </c>
      <c r="AL89" s="3" t="s">
        <v>192</v>
      </c>
      <c r="AM89" s="3" t="s">
        <v>192</v>
      </c>
      <c r="AN89" s="3" t="s">
        <v>192</v>
      </c>
      <c r="AO89" s="3" t="s">
        <v>192</v>
      </c>
      <c r="AP89" s="3" t="s">
        <v>192</v>
      </c>
      <c r="AQ89" s="3">
        <v>1</v>
      </c>
      <c r="AR89" s="3" t="s">
        <v>192</v>
      </c>
      <c r="AS89" s="3" t="s">
        <v>192</v>
      </c>
      <c r="AT89" s="3" t="s">
        <v>192</v>
      </c>
      <c r="AU89" s="3" t="s">
        <v>192</v>
      </c>
      <c r="AV89" s="3" t="s">
        <v>192</v>
      </c>
      <c r="AW89" s="3" t="s">
        <v>192</v>
      </c>
      <c r="AX89" s="3" t="s">
        <v>192</v>
      </c>
      <c r="AY89" s="3" t="s">
        <v>192</v>
      </c>
      <c r="AZ89" s="3" t="s">
        <v>192</v>
      </c>
      <c r="BA89" s="3" t="s">
        <v>192</v>
      </c>
      <c r="BB89" s="3" t="s">
        <v>192</v>
      </c>
      <c r="BC89" s="3" t="s">
        <v>192</v>
      </c>
      <c r="BD89" s="3">
        <v>1</v>
      </c>
      <c r="BE89" s="3" t="s">
        <v>192</v>
      </c>
      <c r="BF89" s="3">
        <v>1</v>
      </c>
      <c r="BG89" s="3" t="s">
        <v>192</v>
      </c>
      <c r="BH89" s="3" t="s">
        <v>192</v>
      </c>
      <c r="BI89" s="3" t="s">
        <v>192</v>
      </c>
      <c r="BJ89" s="3" t="s">
        <v>192</v>
      </c>
      <c r="BK89" s="3" t="s">
        <v>192</v>
      </c>
      <c r="BL89" s="3">
        <v>2</v>
      </c>
      <c r="BM89" s="3" t="s">
        <v>192</v>
      </c>
      <c r="BN89" s="3" t="s">
        <v>192</v>
      </c>
      <c r="BO89" s="3" t="s">
        <v>192</v>
      </c>
      <c r="BP89" s="3" t="s">
        <v>192</v>
      </c>
      <c r="BQ89" s="3" t="s">
        <v>192</v>
      </c>
      <c r="BR89" s="3" t="s">
        <v>192</v>
      </c>
      <c r="BS89" s="3">
        <v>1</v>
      </c>
      <c r="BT89" s="3" t="s">
        <v>192</v>
      </c>
      <c r="BU89" s="3" t="s">
        <v>192</v>
      </c>
      <c r="BV89" s="3" t="s">
        <v>192</v>
      </c>
      <c r="BW89" s="3" t="s">
        <v>192</v>
      </c>
      <c r="BX89" s="3" t="s">
        <v>192</v>
      </c>
      <c r="BY89" s="3" t="s">
        <v>192</v>
      </c>
      <c r="BZ89" s="3" t="s">
        <v>192</v>
      </c>
      <c r="CA89" s="3" t="s">
        <v>192</v>
      </c>
      <c r="CB89" s="3" t="s">
        <v>192</v>
      </c>
      <c r="CC89" s="3" t="s">
        <v>192</v>
      </c>
      <c r="CD89" s="3" t="s">
        <v>192</v>
      </c>
      <c r="CE89" s="3" t="s">
        <v>192</v>
      </c>
      <c r="CF89" s="3" t="s">
        <v>192</v>
      </c>
      <c r="CG89" s="3">
        <v>5</v>
      </c>
      <c r="CH89" s="3" t="s">
        <v>192</v>
      </c>
      <c r="CI89" s="3" t="s">
        <v>192</v>
      </c>
      <c r="CJ89" s="3" t="s">
        <v>192</v>
      </c>
      <c r="CK89" s="3" t="s">
        <v>192</v>
      </c>
      <c r="CL89" s="3" t="s">
        <v>192</v>
      </c>
      <c r="CM89" s="3" t="s">
        <v>192</v>
      </c>
      <c r="CN89" s="3" t="s">
        <v>192</v>
      </c>
      <c r="CO89" s="3" t="s">
        <v>192</v>
      </c>
      <c r="CP89" s="3" t="s">
        <v>192</v>
      </c>
      <c r="CQ89" s="3" t="s">
        <v>192</v>
      </c>
      <c r="CR89" s="3" t="s">
        <v>192</v>
      </c>
      <c r="CS89" s="3" t="s">
        <v>192</v>
      </c>
      <c r="CT89" s="1">
        <f>SUM(Table7[[#This Row],[Acyl_amino_acids]:[T3PKS]])</f>
        <v>14</v>
      </c>
      <c r="CU89" s="3" t="s">
        <v>218</v>
      </c>
      <c r="CW89" s="1">
        <f>Table7[[#This Row],[NRPS]]</f>
        <v>2</v>
      </c>
      <c r="CX89" s="1">
        <f>SUM(CP89,CR89,CS89,Table7[[#This Row],[T1PKS, T3PKS]])</f>
        <v>0</v>
      </c>
      <c r="CY89" s="1">
        <f t="shared" si="1"/>
        <v>1</v>
      </c>
      <c r="CZ89" s="1">
        <f>Table7[[#This Row],[Terpene]]</f>
        <v>5</v>
      </c>
      <c r="DA89" s="1">
        <f>SUM(Table7[[#This Row],[Thiopeptide]],BH89,BF89,BE89,BC89,AZ89,AX89,AW89,AJ89,AH89,N89,L89,J89,H89,I89,K89,R89,Q89,Table7[[#This Row],[Cyanobactin, LAP]])</f>
        <v>4</v>
      </c>
      <c r="DB89" s="1">
        <f>SUM(CO89,CN89,CL89,CK89,CJ89,CI89,CH89,CF89,CE89,CD89,CB89,CA89,BZ89,BY89,BX89,BW89,BV89,BT89,BR89,BQ89,BP89,BO89,BM89,BK89,BJ89,BI89,BG89,BD89,BB89,BA89,AY89,AV89,AU89,AT89,AS89,AR89,AQ89,AP89,AO89,AN89,AM89,AL89,AK89,AG89,AF89,AE89,AD89,AC89,AB89,AA89,Z89,Y89,X89,W89,V89,U89,T89,S89,P89,O89,M89,Table7[[#This Row],[Acyl_amino_acids]],E89,F89,G89,)</f>
        <v>2</v>
      </c>
    </row>
    <row r="90" spans="1:106" x14ac:dyDescent="0.25">
      <c r="A90" s="9" t="s">
        <v>661</v>
      </c>
      <c r="B90" s="1" t="s">
        <v>435</v>
      </c>
      <c r="C90" s="1" t="s">
        <v>325</v>
      </c>
      <c r="D90" s="3" t="s">
        <v>192</v>
      </c>
      <c r="E90" s="3" t="s">
        <v>192</v>
      </c>
      <c r="F90" s="3" t="s">
        <v>192</v>
      </c>
      <c r="G90" s="3" t="s">
        <v>192</v>
      </c>
      <c r="H90" s="3">
        <v>2</v>
      </c>
      <c r="I90" s="3" t="s">
        <v>192</v>
      </c>
      <c r="J90" s="3" t="s">
        <v>192</v>
      </c>
      <c r="K90" s="3" t="s">
        <v>192</v>
      </c>
      <c r="L90" s="3" t="s">
        <v>192</v>
      </c>
      <c r="M90" s="3" t="s">
        <v>192</v>
      </c>
      <c r="N90" s="3" t="s">
        <v>192</v>
      </c>
      <c r="O90" s="3" t="s">
        <v>192</v>
      </c>
      <c r="P90" s="3" t="s">
        <v>192</v>
      </c>
      <c r="Q90" s="3" t="s">
        <v>192</v>
      </c>
      <c r="R90" s="3" t="s">
        <v>192</v>
      </c>
      <c r="S90" s="3" t="s">
        <v>192</v>
      </c>
      <c r="T90" s="3" t="s">
        <v>192</v>
      </c>
      <c r="U90" s="3" t="s">
        <v>192</v>
      </c>
      <c r="V90" s="3" t="s">
        <v>192</v>
      </c>
      <c r="W90" s="3" t="s">
        <v>192</v>
      </c>
      <c r="X90" s="3" t="s">
        <v>192</v>
      </c>
      <c r="Y90" s="3" t="s">
        <v>192</v>
      </c>
      <c r="Z90" s="3" t="s">
        <v>192</v>
      </c>
      <c r="AA90" s="3" t="s">
        <v>192</v>
      </c>
      <c r="AB90" s="3" t="s">
        <v>192</v>
      </c>
      <c r="AC90" s="3" t="s">
        <v>192</v>
      </c>
      <c r="AD90" s="3" t="s">
        <v>192</v>
      </c>
      <c r="AE90" s="3" t="s">
        <v>192</v>
      </c>
      <c r="AF90" s="3" t="s">
        <v>192</v>
      </c>
      <c r="AG90" s="3" t="s">
        <v>192</v>
      </c>
      <c r="AH90" s="3" t="s">
        <v>192</v>
      </c>
      <c r="AI90" s="3" t="s">
        <v>192</v>
      </c>
      <c r="AJ90" s="3" t="s">
        <v>192</v>
      </c>
      <c r="AK90" s="3" t="s">
        <v>192</v>
      </c>
      <c r="AL90" s="3" t="s">
        <v>192</v>
      </c>
      <c r="AM90" s="3" t="s">
        <v>192</v>
      </c>
      <c r="AN90" s="3" t="s">
        <v>192</v>
      </c>
      <c r="AO90" s="3" t="s">
        <v>192</v>
      </c>
      <c r="AP90" s="3" t="s">
        <v>192</v>
      </c>
      <c r="AQ90" s="3">
        <v>1</v>
      </c>
      <c r="AR90" s="3" t="s">
        <v>192</v>
      </c>
      <c r="AS90" s="3" t="s">
        <v>192</v>
      </c>
      <c r="AT90" s="3" t="s">
        <v>192</v>
      </c>
      <c r="AU90" s="3" t="s">
        <v>192</v>
      </c>
      <c r="AV90" s="3" t="s">
        <v>192</v>
      </c>
      <c r="AW90" s="3" t="s">
        <v>192</v>
      </c>
      <c r="AX90" s="3" t="s">
        <v>192</v>
      </c>
      <c r="AY90" s="3" t="s">
        <v>192</v>
      </c>
      <c r="AZ90" s="3" t="s">
        <v>192</v>
      </c>
      <c r="BA90" s="3" t="s">
        <v>192</v>
      </c>
      <c r="BB90" s="3" t="s">
        <v>192</v>
      </c>
      <c r="BC90" s="3" t="s">
        <v>192</v>
      </c>
      <c r="BD90" s="3" t="s">
        <v>192</v>
      </c>
      <c r="BE90" s="3" t="s">
        <v>192</v>
      </c>
      <c r="BF90" s="3" t="s">
        <v>192</v>
      </c>
      <c r="BG90" s="3" t="s">
        <v>192</v>
      </c>
      <c r="BH90" s="3" t="s">
        <v>192</v>
      </c>
      <c r="BI90" s="3">
        <v>1</v>
      </c>
      <c r="BJ90" s="3" t="s">
        <v>192</v>
      </c>
      <c r="BK90" s="3">
        <v>1</v>
      </c>
      <c r="BL90" s="3">
        <v>2</v>
      </c>
      <c r="BM90" s="3" t="s">
        <v>192</v>
      </c>
      <c r="BN90" s="3" t="s">
        <v>192</v>
      </c>
      <c r="BO90" s="3" t="s">
        <v>192</v>
      </c>
      <c r="BP90" s="3" t="s">
        <v>192</v>
      </c>
      <c r="BQ90" s="3" t="s">
        <v>192</v>
      </c>
      <c r="BR90" s="3" t="s">
        <v>192</v>
      </c>
      <c r="BS90" s="3">
        <v>2</v>
      </c>
      <c r="BT90" s="3" t="s">
        <v>192</v>
      </c>
      <c r="BU90" s="3" t="s">
        <v>192</v>
      </c>
      <c r="BV90" s="3" t="s">
        <v>192</v>
      </c>
      <c r="BW90" s="3" t="s">
        <v>192</v>
      </c>
      <c r="BX90" s="3" t="s">
        <v>192</v>
      </c>
      <c r="BY90" s="3" t="s">
        <v>192</v>
      </c>
      <c r="BZ90" s="3" t="s">
        <v>192</v>
      </c>
      <c r="CA90" s="3">
        <v>1</v>
      </c>
      <c r="CB90" s="3" t="s">
        <v>192</v>
      </c>
      <c r="CC90" s="3" t="s">
        <v>192</v>
      </c>
      <c r="CD90" s="3" t="s">
        <v>192</v>
      </c>
      <c r="CE90" s="3" t="s">
        <v>192</v>
      </c>
      <c r="CF90" s="3" t="s">
        <v>192</v>
      </c>
      <c r="CG90" s="3">
        <v>3</v>
      </c>
      <c r="CH90" s="3" t="s">
        <v>192</v>
      </c>
      <c r="CI90" s="3" t="s">
        <v>192</v>
      </c>
      <c r="CJ90" s="3" t="s">
        <v>192</v>
      </c>
      <c r="CK90" s="3" t="s">
        <v>192</v>
      </c>
      <c r="CL90" s="3" t="s">
        <v>192</v>
      </c>
      <c r="CM90" s="3" t="s">
        <v>192</v>
      </c>
      <c r="CN90" s="3" t="s">
        <v>192</v>
      </c>
      <c r="CO90" s="3" t="s">
        <v>192</v>
      </c>
      <c r="CP90" s="3" t="s">
        <v>192</v>
      </c>
      <c r="CQ90" s="3" t="s">
        <v>192</v>
      </c>
      <c r="CR90" s="3" t="s">
        <v>192</v>
      </c>
      <c r="CS90" s="3" t="s">
        <v>192</v>
      </c>
      <c r="CT90" s="1">
        <f>SUM(Table7[[#This Row],[Acyl_amino_acids]:[T3PKS]])</f>
        <v>13</v>
      </c>
      <c r="CU90" s="3" t="s">
        <v>196</v>
      </c>
      <c r="CW90" s="1">
        <f>Table7[[#This Row],[NRPS]]</f>
        <v>2</v>
      </c>
      <c r="CX90" s="1">
        <f>SUM(CP90,CR90,CS90,Table7[[#This Row],[T1PKS, T3PKS]])</f>
        <v>0</v>
      </c>
      <c r="CY90" s="1">
        <f t="shared" si="1"/>
        <v>2</v>
      </c>
      <c r="CZ90" s="1">
        <f>Table7[[#This Row],[Terpene]]</f>
        <v>3</v>
      </c>
      <c r="DA90" s="1">
        <f>SUM(Table7[[#This Row],[Thiopeptide]],BH90,BF90,BE90,BC90,AZ90,AX90,AW90,AJ90,AH90,N90,L90,J90,H90,I90,K90,R90,Q90,Table7[[#This Row],[Cyanobactin, LAP]])</f>
        <v>2</v>
      </c>
      <c r="DB90" s="1">
        <f>SUM(CO90,CN90,CL90,CK90,CJ90,CI90,CH90,CF90,CE90,CD90,CB90,CA90,BZ90,BY90,BX90,BW90,BV90,BT90,BR90,BQ90,BP90,BO90,BM90,BK90,BJ90,BI90,BG90,BD90,BB90,BA90,AY90,AV90,AU90,AT90,AS90,AR90,AQ90,AP90,AO90,AN90,AM90,AL90,AK90,AG90,AF90,AE90,AD90,AC90,AB90,AA90,Z90,Y90,X90,W90,V90,U90,T90,S90,P90,O90,M90,Table7[[#This Row],[Acyl_amino_acids]],E90,F90,G90,)</f>
        <v>4</v>
      </c>
    </row>
    <row r="91" spans="1:106" x14ac:dyDescent="0.25">
      <c r="A91" s="9" t="s">
        <v>658</v>
      </c>
      <c r="B91" s="1" t="s">
        <v>435</v>
      </c>
      <c r="C91" s="1" t="s">
        <v>330</v>
      </c>
      <c r="D91" s="3" t="s">
        <v>192</v>
      </c>
      <c r="E91" s="3" t="s">
        <v>192</v>
      </c>
      <c r="F91" s="3" t="s">
        <v>192</v>
      </c>
      <c r="G91" s="3" t="s">
        <v>192</v>
      </c>
      <c r="H91" s="3">
        <v>2</v>
      </c>
      <c r="I91" s="3" t="s">
        <v>192</v>
      </c>
      <c r="J91" s="3" t="s">
        <v>192</v>
      </c>
      <c r="K91" s="3" t="s">
        <v>192</v>
      </c>
      <c r="L91" s="3">
        <v>1</v>
      </c>
      <c r="M91" s="3" t="s">
        <v>192</v>
      </c>
      <c r="N91" s="3" t="s">
        <v>192</v>
      </c>
      <c r="O91" s="3" t="s">
        <v>192</v>
      </c>
      <c r="P91" s="3" t="s">
        <v>192</v>
      </c>
      <c r="Q91" s="3" t="s">
        <v>192</v>
      </c>
      <c r="R91" s="3" t="s">
        <v>192</v>
      </c>
      <c r="S91" s="3" t="s">
        <v>192</v>
      </c>
      <c r="T91" s="3" t="s">
        <v>192</v>
      </c>
      <c r="U91" s="3" t="s">
        <v>192</v>
      </c>
      <c r="V91" s="3" t="s">
        <v>192</v>
      </c>
      <c r="W91" s="3" t="s">
        <v>192</v>
      </c>
      <c r="X91" s="3" t="s">
        <v>192</v>
      </c>
      <c r="Y91" s="3" t="s">
        <v>192</v>
      </c>
      <c r="Z91" s="3" t="s">
        <v>192</v>
      </c>
      <c r="AA91" s="3" t="s">
        <v>192</v>
      </c>
      <c r="AB91" s="3" t="s">
        <v>192</v>
      </c>
      <c r="AC91" s="3" t="s">
        <v>192</v>
      </c>
      <c r="AD91" s="3" t="s">
        <v>192</v>
      </c>
      <c r="AE91" s="3" t="s">
        <v>192</v>
      </c>
      <c r="AF91" s="3" t="s">
        <v>192</v>
      </c>
      <c r="AG91" s="3">
        <v>1</v>
      </c>
      <c r="AH91" s="3" t="s">
        <v>192</v>
      </c>
      <c r="AI91" s="3" t="s">
        <v>192</v>
      </c>
      <c r="AJ91" s="3" t="s">
        <v>192</v>
      </c>
      <c r="AK91" s="3" t="s">
        <v>192</v>
      </c>
      <c r="AL91" s="3" t="s">
        <v>192</v>
      </c>
      <c r="AM91" s="3" t="s">
        <v>192</v>
      </c>
      <c r="AN91" s="3" t="s">
        <v>192</v>
      </c>
      <c r="AO91" s="3" t="s">
        <v>192</v>
      </c>
      <c r="AP91" s="3" t="s">
        <v>192</v>
      </c>
      <c r="AQ91" s="3">
        <v>1</v>
      </c>
      <c r="AR91" s="3" t="s">
        <v>192</v>
      </c>
      <c r="AS91" s="3" t="s">
        <v>192</v>
      </c>
      <c r="AT91" s="3">
        <v>1</v>
      </c>
      <c r="AU91" s="3" t="s">
        <v>192</v>
      </c>
      <c r="AV91" s="3" t="s">
        <v>192</v>
      </c>
      <c r="AW91" s="3">
        <v>1</v>
      </c>
      <c r="AX91" s="3" t="s">
        <v>192</v>
      </c>
      <c r="AY91" s="3" t="s">
        <v>192</v>
      </c>
      <c r="AZ91" s="3" t="s">
        <v>192</v>
      </c>
      <c r="BA91" s="3" t="s">
        <v>192</v>
      </c>
      <c r="BB91" s="3" t="s">
        <v>192</v>
      </c>
      <c r="BC91" s="3" t="s">
        <v>192</v>
      </c>
      <c r="BD91" s="3" t="s">
        <v>192</v>
      </c>
      <c r="BE91" s="3" t="s">
        <v>192</v>
      </c>
      <c r="BF91" s="3" t="s">
        <v>192</v>
      </c>
      <c r="BG91" s="3" t="s">
        <v>192</v>
      </c>
      <c r="BH91" s="3">
        <v>1</v>
      </c>
      <c r="BI91" s="3" t="s">
        <v>192</v>
      </c>
      <c r="BJ91" s="3" t="s">
        <v>192</v>
      </c>
      <c r="BK91" s="3" t="s">
        <v>192</v>
      </c>
      <c r="BL91" s="3">
        <v>2</v>
      </c>
      <c r="BM91" s="3" t="s">
        <v>192</v>
      </c>
      <c r="BN91" s="3" t="s">
        <v>192</v>
      </c>
      <c r="BO91" s="3" t="s">
        <v>192</v>
      </c>
      <c r="BP91" s="3" t="s">
        <v>192</v>
      </c>
      <c r="BQ91" s="3" t="s">
        <v>192</v>
      </c>
      <c r="BR91" s="3" t="s">
        <v>192</v>
      </c>
      <c r="BS91" s="3" t="s">
        <v>192</v>
      </c>
      <c r="BT91" s="3" t="s">
        <v>192</v>
      </c>
      <c r="BU91" s="3" t="s">
        <v>192</v>
      </c>
      <c r="BV91" s="3" t="s">
        <v>192</v>
      </c>
      <c r="BW91" s="3" t="s">
        <v>192</v>
      </c>
      <c r="BX91" s="3" t="s">
        <v>192</v>
      </c>
      <c r="BY91" s="3" t="s">
        <v>192</v>
      </c>
      <c r="BZ91" s="3" t="s">
        <v>192</v>
      </c>
      <c r="CA91" s="3" t="s">
        <v>192</v>
      </c>
      <c r="CB91" s="3" t="s">
        <v>192</v>
      </c>
      <c r="CC91" s="3" t="s">
        <v>192</v>
      </c>
      <c r="CD91" s="3" t="s">
        <v>192</v>
      </c>
      <c r="CE91" s="3" t="s">
        <v>192</v>
      </c>
      <c r="CF91" s="3">
        <v>1</v>
      </c>
      <c r="CG91" s="3">
        <v>3</v>
      </c>
      <c r="CH91" s="3" t="s">
        <v>192</v>
      </c>
      <c r="CI91" s="3" t="s">
        <v>192</v>
      </c>
      <c r="CJ91" s="3" t="s">
        <v>192</v>
      </c>
      <c r="CK91" s="3" t="s">
        <v>192</v>
      </c>
      <c r="CL91" s="3" t="s">
        <v>192</v>
      </c>
      <c r="CM91" s="3" t="s">
        <v>192</v>
      </c>
      <c r="CN91" s="3" t="s">
        <v>192</v>
      </c>
      <c r="CO91" s="3" t="s">
        <v>192</v>
      </c>
      <c r="CP91" s="3" t="s">
        <v>192</v>
      </c>
      <c r="CQ91" s="3" t="s">
        <v>192</v>
      </c>
      <c r="CR91" s="3" t="s">
        <v>192</v>
      </c>
      <c r="CS91" s="3" t="s">
        <v>192</v>
      </c>
      <c r="CT91" s="1">
        <f>SUM(Table7[[#This Row],[Acyl_amino_acids]:[T3PKS]])</f>
        <v>14</v>
      </c>
      <c r="CU91" s="2" t="s">
        <v>534</v>
      </c>
      <c r="CW91" s="1">
        <f>Table7[[#This Row],[NRPS]]</f>
        <v>2</v>
      </c>
      <c r="CX91" s="1">
        <f>SUM(CP91,CR91,CS91,Table7[[#This Row],[T1PKS, T3PKS]])</f>
        <v>0</v>
      </c>
      <c r="CY91" s="1">
        <f t="shared" si="1"/>
        <v>0</v>
      </c>
      <c r="CZ91" s="1">
        <f>Table7[[#This Row],[Terpene]]</f>
        <v>3</v>
      </c>
      <c r="DA91" s="1">
        <f>SUM(Table7[[#This Row],[Thiopeptide]],BH91,BF91,BE91,BC91,AZ91,AX91,AW91,AJ91,AH91,N91,L91,J91,H91,I91,K91,R91,Q91,Table7[[#This Row],[Cyanobactin, LAP]])</f>
        <v>5</v>
      </c>
      <c r="DB91" s="1">
        <f>SUM(CO91,CN91,CL91,CK91,CJ91,CI91,CH91,CF91,CE91,CD91,CB91,CA91,BZ91,BY91,BX91,BW91,BV91,BT91,BR91,BQ91,BP91,BO91,BM91,BK91,BJ91,BI91,BG91,BD91,BB91,BA91,AY91,AV91,AU91,AT91,AS91,AR91,AQ91,AP91,AO91,AN91,AM91,AL91,AK91,AG91,AF91,AE91,AD91,AC91,AB91,AA91,Z91,Y91,X91,W91,V91,U91,T91,S91,P91,O91,M91,Table7[[#This Row],[Acyl_amino_acids]],E91,F91,G91,)</f>
        <v>4</v>
      </c>
    </row>
    <row r="92" spans="1:106" x14ac:dyDescent="0.25">
      <c r="A92" s="9" t="s">
        <v>644</v>
      </c>
      <c r="B92" s="1" t="s">
        <v>435</v>
      </c>
      <c r="C92" s="1" t="s">
        <v>332</v>
      </c>
      <c r="D92" s="1" t="s">
        <v>192</v>
      </c>
      <c r="E92" s="3" t="s">
        <v>192</v>
      </c>
      <c r="F92" s="3" t="s">
        <v>192</v>
      </c>
      <c r="G92" s="3" t="s">
        <v>192</v>
      </c>
      <c r="H92" s="3">
        <v>2</v>
      </c>
      <c r="I92" s="3" t="s">
        <v>192</v>
      </c>
      <c r="J92" s="3" t="s">
        <v>192</v>
      </c>
      <c r="K92" s="3" t="s">
        <v>192</v>
      </c>
      <c r="L92" s="3">
        <v>1</v>
      </c>
      <c r="M92" s="3" t="s">
        <v>192</v>
      </c>
      <c r="N92" s="3" t="s">
        <v>192</v>
      </c>
      <c r="O92" s="3" t="s">
        <v>192</v>
      </c>
      <c r="P92" s="3" t="s">
        <v>192</v>
      </c>
      <c r="Q92" s="3" t="s">
        <v>192</v>
      </c>
      <c r="R92" s="3" t="s">
        <v>192</v>
      </c>
      <c r="S92" s="3" t="s">
        <v>192</v>
      </c>
      <c r="T92" s="3" t="s">
        <v>192</v>
      </c>
      <c r="U92" s="3" t="s">
        <v>192</v>
      </c>
      <c r="V92" s="3" t="s">
        <v>192</v>
      </c>
      <c r="W92" s="3" t="s">
        <v>192</v>
      </c>
      <c r="X92" s="3" t="s">
        <v>192</v>
      </c>
      <c r="Y92" s="3" t="s">
        <v>192</v>
      </c>
      <c r="Z92" s="3" t="s">
        <v>192</v>
      </c>
      <c r="AA92" s="3" t="s">
        <v>192</v>
      </c>
      <c r="AB92" s="3" t="s">
        <v>192</v>
      </c>
      <c r="AC92" s="3" t="s">
        <v>192</v>
      </c>
      <c r="AD92" s="3" t="s">
        <v>192</v>
      </c>
      <c r="AE92" s="3" t="s">
        <v>192</v>
      </c>
      <c r="AF92" s="3" t="s">
        <v>192</v>
      </c>
      <c r="AG92" s="3">
        <v>1</v>
      </c>
      <c r="AH92" s="3" t="s">
        <v>192</v>
      </c>
      <c r="AI92" s="3" t="s">
        <v>192</v>
      </c>
      <c r="AJ92" s="3" t="s">
        <v>192</v>
      </c>
      <c r="AK92" s="3" t="s">
        <v>192</v>
      </c>
      <c r="AL92" s="3" t="s">
        <v>192</v>
      </c>
      <c r="AM92" s="3" t="s">
        <v>192</v>
      </c>
      <c r="AN92" s="3" t="s">
        <v>192</v>
      </c>
      <c r="AO92" s="3" t="s">
        <v>192</v>
      </c>
      <c r="AP92" s="3" t="s">
        <v>192</v>
      </c>
      <c r="AQ92" s="3">
        <v>1</v>
      </c>
      <c r="AR92" s="3" t="s">
        <v>192</v>
      </c>
      <c r="AS92" s="3" t="s">
        <v>192</v>
      </c>
      <c r="AT92" s="3">
        <v>1</v>
      </c>
      <c r="AU92" s="3" t="s">
        <v>192</v>
      </c>
      <c r="AV92" s="3" t="s">
        <v>192</v>
      </c>
      <c r="AW92" s="3">
        <v>1</v>
      </c>
      <c r="AX92" s="3" t="s">
        <v>192</v>
      </c>
      <c r="AY92" s="3" t="s">
        <v>192</v>
      </c>
      <c r="AZ92" s="3" t="s">
        <v>192</v>
      </c>
      <c r="BA92" s="3" t="s">
        <v>192</v>
      </c>
      <c r="BB92" s="3" t="s">
        <v>192</v>
      </c>
      <c r="BC92" s="3" t="s">
        <v>192</v>
      </c>
      <c r="BD92" s="3" t="s">
        <v>192</v>
      </c>
      <c r="BE92" s="3" t="s">
        <v>192</v>
      </c>
      <c r="BF92" s="3" t="s">
        <v>192</v>
      </c>
      <c r="BG92" s="3" t="s">
        <v>192</v>
      </c>
      <c r="BH92" s="3">
        <v>1</v>
      </c>
      <c r="BI92" s="3" t="s">
        <v>192</v>
      </c>
      <c r="BJ92" s="3" t="s">
        <v>192</v>
      </c>
      <c r="BK92" s="3" t="s">
        <v>192</v>
      </c>
      <c r="BL92" s="3">
        <v>3</v>
      </c>
      <c r="BM92" s="3" t="s">
        <v>192</v>
      </c>
      <c r="BN92" s="3" t="s">
        <v>192</v>
      </c>
      <c r="BO92" s="3" t="s">
        <v>192</v>
      </c>
      <c r="BP92" s="3" t="s">
        <v>192</v>
      </c>
      <c r="BQ92" s="3" t="s">
        <v>192</v>
      </c>
      <c r="BR92" s="3" t="s">
        <v>192</v>
      </c>
      <c r="BS92" s="3" t="s">
        <v>192</v>
      </c>
      <c r="BT92" s="3" t="s">
        <v>192</v>
      </c>
      <c r="BU92" s="3" t="s">
        <v>192</v>
      </c>
      <c r="BV92" s="3" t="s">
        <v>192</v>
      </c>
      <c r="BW92" s="3" t="s">
        <v>192</v>
      </c>
      <c r="BX92" s="3" t="s">
        <v>192</v>
      </c>
      <c r="BY92" s="3" t="s">
        <v>192</v>
      </c>
      <c r="BZ92" s="3" t="s">
        <v>192</v>
      </c>
      <c r="CA92" s="3" t="s">
        <v>192</v>
      </c>
      <c r="CB92" s="3" t="s">
        <v>192</v>
      </c>
      <c r="CC92" s="3" t="s">
        <v>192</v>
      </c>
      <c r="CD92" s="3" t="s">
        <v>192</v>
      </c>
      <c r="CE92" s="3" t="s">
        <v>192</v>
      </c>
      <c r="CF92" s="3">
        <v>1</v>
      </c>
      <c r="CG92" s="3">
        <v>3</v>
      </c>
      <c r="CH92" s="3" t="s">
        <v>192</v>
      </c>
      <c r="CI92" s="3" t="s">
        <v>192</v>
      </c>
      <c r="CJ92" s="3" t="s">
        <v>192</v>
      </c>
      <c r="CK92" s="3" t="s">
        <v>192</v>
      </c>
      <c r="CL92" s="3" t="s">
        <v>192</v>
      </c>
      <c r="CM92" s="3" t="s">
        <v>192</v>
      </c>
      <c r="CN92" s="3" t="s">
        <v>192</v>
      </c>
      <c r="CO92" s="3" t="s">
        <v>192</v>
      </c>
      <c r="CP92" s="3" t="s">
        <v>192</v>
      </c>
      <c r="CQ92" s="3" t="s">
        <v>192</v>
      </c>
      <c r="CR92" s="3" t="s">
        <v>192</v>
      </c>
      <c r="CS92" s="3" t="s">
        <v>192</v>
      </c>
      <c r="CT92" s="1">
        <f>SUM(Table7[[#This Row],[Acyl_amino_acids]:[T3PKS]])</f>
        <v>15</v>
      </c>
      <c r="CU92" s="2" t="s">
        <v>534</v>
      </c>
      <c r="CW92" s="1">
        <f>Table7[[#This Row],[NRPS]]</f>
        <v>3</v>
      </c>
      <c r="CX92" s="1">
        <f>SUM(CP92,CR92,CS92,Table7[[#This Row],[T1PKS, T3PKS]])</f>
        <v>0</v>
      </c>
      <c r="CY92" s="1">
        <f t="shared" si="1"/>
        <v>0</v>
      </c>
      <c r="CZ92" s="1">
        <f>Table7[[#This Row],[Terpene]]</f>
        <v>3</v>
      </c>
      <c r="DA92" s="1">
        <f>SUM(Table7[[#This Row],[Thiopeptide]],BH92,BF92,BE92,BC92,AZ92,AX92,AW92,AJ92,AH92,N92,L92,J92,H92,I92,K92,R92,Q92,Table7[[#This Row],[Cyanobactin, LAP]])</f>
        <v>5</v>
      </c>
      <c r="DB92" s="1">
        <f>SUM(CO92,CN92,CL92,CK92,CJ92,CI92,CH92,CF92,CE92,CD92,CB92,CA92,BZ92,BY92,BX92,BW92,BV92,BT92,BR92,BQ92,BP92,BO92,BM92,BK92,BJ92,BI92,BG92,BD92,BB92,BA92,AY92,AV92,AU92,AT92,AS92,AR92,AQ92,AP92,AO92,AN92,AM92,AL92,AK92,AG92,AF92,AE92,AD92,AC92,AB92,AA92,Z92,Y92,X92,W92,V92,U92,T92,S92,P92,O92,M92,Table7[[#This Row],[Acyl_amino_acids]],E92,F92,G92,)</f>
        <v>4</v>
      </c>
    </row>
    <row r="93" spans="1:106" x14ac:dyDescent="0.25">
      <c r="A93" s="9" t="s">
        <v>782</v>
      </c>
      <c r="B93" s="1" t="s">
        <v>435</v>
      </c>
      <c r="C93" s="1" t="s">
        <v>581</v>
      </c>
      <c r="D93" s="3" t="s">
        <v>192</v>
      </c>
      <c r="E93" s="3" t="s">
        <v>192</v>
      </c>
      <c r="F93" s="3" t="s">
        <v>192</v>
      </c>
      <c r="G93" s="3" t="s">
        <v>192</v>
      </c>
      <c r="H93" s="3">
        <v>4</v>
      </c>
      <c r="I93" s="3" t="s">
        <v>192</v>
      </c>
      <c r="J93" s="3" t="s">
        <v>192</v>
      </c>
      <c r="K93" s="3" t="s">
        <v>192</v>
      </c>
      <c r="L93" s="3">
        <v>2</v>
      </c>
      <c r="M93" s="3" t="s">
        <v>192</v>
      </c>
      <c r="N93" s="3" t="s">
        <v>192</v>
      </c>
      <c r="O93" s="3" t="s">
        <v>192</v>
      </c>
      <c r="P93" s="3" t="s">
        <v>192</v>
      </c>
      <c r="Q93" s="3" t="s">
        <v>192</v>
      </c>
      <c r="R93" s="3" t="s">
        <v>192</v>
      </c>
      <c r="S93" s="3" t="s">
        <v>192</v>
      </c>
      <c r="T93" s="3" t="s">
        <v>192</v>
      </c>
      <c r="U93" s="3" t="s">
        <v>192</v>
      </c>
      <c r="V93" s="3" t="s">
        <v>192</v>
      </c>
      <c r="W93" s="3" t="s">
        <v>192</v>
      </c>
      <c r="X93" s="3" t="s">
        <v>192</v>
      </c>
      <c r="Y93" s="3" t="s">
        <v>192</v>
      </c>
      <c r="Z93" s="3" t="s">
        <v>192</v>
      </c>
      <c r="AA93" s="3" t="s">
        <v>192</v>
      </c>
      <c r="AB93" s="3" t="s">
        <v>192</v>
      </c>
      <c r="AC93" s="3" t="s">
        <v>192</v>
      </c>
      <c r="AD93" s="3" t="s">
        <v>192</v>
      </c>
      <c r="AE93" s="3" t="s">
        <v>192</v>
      </c>
      <c r="AF93" s="3">
        <v>1</v>
      </c>
      <c r="AG93" s="3" t="s">
        <v>192</v>
      </c>
      <c r="AH93" s="3" t="s">
        <v>192</v>
      </c>
      <c r="AI93" s="3" t="s">
        <v>192</v>
      </c>
      <c r="AJ93" s="3" t="s">
        <v>192</v>
      </c>
      <c r="AK93" s="3" t="s">
        <v>192</v>
      </c>
      <c r="AL93" s="3">
        <v>1</v>
      </c>
      <c r="AM93" s="3" t="s">
        <v>192</v>
      </c>
      <c r="AN93" s="3" t="s">
        <v>192</v>
      </c>
      <c r="AO93" s="3" t="s">
        <v>192</v>
      </c>
      <c r="AP93" s="3" t="s">
        <v>192</v>
      </c>
      <c r="AQ93" s="3">
        <v>1</v>
      </c>
      <c r="AR93" s="3" t="s">
        <v>192</v>
      </c>
      <c r="AS93" s="3" t="s">
        <v>192</v>
      </c>
      <c r="AT93" s="3">
        <v>1</v>
      </c>
      <c r="AU93" s="3" t="s">
        <v>192</v>
      </c>
      <c r="AV93" s="3" t="s">
        <v>192</v>
      </c>
      <c r="AW93" s="3" t="s">
        <v>192</v>
      </c>
      <c r="AX93" s="3" t="s">
        <v>192</v>
      </c>
      <c r="AY93" s="3">
        <v>1</v>
      </c>
      <c r="AZ93" s="3" t="s">
        <v>192</v>
      </c>
      <c r="BA93" s="3" t="s">
        <v>192</v>
      </c>
      <c r="BB93" s="3" t="s">
        <v>192</v>
      </c>
      <c r="BC93" s="3" t="s">
        <v>192</v>
      </c>
      <c r="BD93" s="3" t="s">
        <v>192</v>
      </c>
      <c r="BE93" s="3" t="s">
        <v>192</v>
      </c>
      <c r="BF93" s="3" t="s">
        <v>192</v>
      </c>
      <c r="BG93" s="3" t="s">
        <v>192</v>
      </c>
      <c r="BH93" s="3">
        <v>2</v>
      </c>
      <c r="BI93" s="3" t="s">
        <v>192</v>
      </c>
      <c r="BJ93" s="3" t="s">
        <v>192</v>
      </c>
      <c r="BK93" s="3" t="s">
        <v>192</v>
      </c>
      <c r="BL93" s="3">
        <v>6</v>
      </c>
      <c r="BM93" s="3" t="s">
        <v>192</v>
      </c>
      <c r="BN93" s="3">
        <v>1</v>
      </c>
      <c r="BO93" s="3" t="s">
        <v>192</v>
      </c>
      <c r="BP93" s="3" t="s">
        <v>192</v>
      </c>
      <c r="BQ93" s="3">
        <v>1</v>
      </c>
      <c r="BR93" s="3" t="s">
        <v>192</v>
      </c>
      <c r="BS93" s="3">
        <v>6</v>
      </c>
      <c r="BT93" s="3" t="s">
        <v>192</v>
      </c>
      <c r="BU93" s="3" t="s">
        <v>192</v>
      </c>
      <c r="BV93" s="3" t="s">
        <v>192</v>
      </c>
      <c r="BW93" s="3" t="s">
        <v>192</v>
      </c>
      <c r="BX93" s="3" t="s">
        <v>192</v>
      </c>
      <c r="BY93" s="3" t="s">
        <v>192</v>
      </c>
      <c r="BZ93" s="3" t="s">
        <v>192</v>
      </c>
      <c r="CA93" s="3" t="s">
        <v>192</v>
      </c>
      <c r="CB93" s="3" t="s">
        <v>192</v>
      </c>
      <c r="CC93" s="3" t="s">
        <v>192</v>
      </c>
      <c r="CD93" s="3" t="s">
        <v>192</v>
      </c>
      <c r="CE93" s="3" t="s">
        <v>192</v>
      </c>
      <c r="CF93" s="3" t="s">
        <v>192</v>
      </c>
      <c r="CG93" s="3">
        <v>4</v>
      </c>
      <c r="CH93" s="3" t="s">
        <v>192</v>
      </c>
      <c r="CI93" s="3" t="s">
        <v>192</v>
      </c>
      <c r="CJ93" s="3" t="s">
        <v>192</v>
      </c>
      <c r="CK93" s="3" t="s">
        <v>192</v>
      </c>
      <c r="CL93" s="3" t="s">
        <v>192</v>
      </c>
      <c r="CM93" s="3">
        <v>1</v>
      </c>
      <c r="CN93" s="3" t="s">
        <v>192</v>
      </c>
      <c r="CO93" s="3" t="s">
        <v>192</v>
      </c>
      <c r="CP93" s="3">
        <v>1</v>
      </c>
      <c r="CQ93" s="3" t="s">
        <v>192</v>
      </c>
      <c r="CR93" s="3" t="s">
        <v>192</v>
      </c>
      <c r="CS93" s="3" t="s">
        <v>192</v>
      </c>
      <c r="CT93" s="1">
        <f>SUM(Table7[[#This Row],[Acyl_amino_acids]:[T3PKS]])</f>
        <v>33</v>
      </c>
      <c r="CU93" s="3" t="s">
        <v>196</v>
      </c>
      <c r="CW93" s="1">
        <f>Table7[[#This Row],[NRPS]]</f>
        <v>6</v>
      </c>
      <c r="CX93" s="1">
        <f>SUM(CP93,CR93,CS93,Table7[[#This Row],[T1PKS, T3PKS]])</f>
        <v>1</v>
      </c>
      <c r="CY93" s="1">
        <f t="shared" si="1"/>
        <v>7</v>
      </c>
      <c r="CZ93" s="1">
        <f>Table7[[#This Row],[Terpene]]</f>
        <v>4</v>
      </c>
      <c r="DA93" s="1">
        <f>SUM(Table7[[#This Row],[Thiopeptide]],BH93,BF93,BE93,BC93,AZ93,AX93,AW93,AJ93,AH93,N93,L93,J93,H93,I93,K93,R93,Q93,Table7[[#This Row],[Cyanobactin, LAP]])</f>
        <v>9</v>
      </c>
      <c r="DB93" s="1">
        <f>SUM(CO93,CN93,CL93,CK93,CJ93,CI93,CH93,CF93,CE93,CD93,CB93,CA93,BZ93,BY93,BX93,BW93,BV93,BT93,BR93,BQ93,BP93,BO93,BM93,BK93,BJ93,BI93,BG93,BD93,BB93,BA93,AY93,AV93,AU93,AT93,AS93,AR93,AQ93,AP93,AO93,AN93,AM93,AL93,AK93,AG93,AF93,AE93,AD93,AC93,AB93,AA93,Z93,Y93,X93,W93,V93,U93,T93,S93,P93,O93,M93,Table7[[#This Row],[Acyl_amino_acids]],E93,F93,G93,)</f>
        <v>6</v>
      </c>
    </row>
    <row r="94" spans="1:106" x14ac:dyDescent="0.25">
      <c r="A94" s="9" t="s">
        <v>713</v>
      </c>
      <c r="B94" s="1" t="s">
        <v>435</v>
      </c>
      <c r="C94" s="1" t="s">
        <v>333</v>
      </c>
      <c r="D94" s="1" t="s">
        <v>192</v>
      </c>
      <c r="E94" s="1" t="s">
        <v>192</v>
      </c>
      <c r="F94" s="3" t="s">
        <v>192</v>
      </c>
      <c r="G94" s="3" t="s">
        <v>192</v>
      </c>
      <c r="H94" s="3">
        <v>3</v>
      </c>
      <c r="I94" s="3" t="s">
        <v>192</v>
      </c>
      <c r="J94" s="3" t="s">
        <v>192</v>
      </c>
      <c r="K94" s="3" t="s">
        <v>192</v>
      </c>
      <c r="L94" s="3" t="s">
        <v>192</v>
      </c>
      <c r="M94" s="3" t="s">
        <v>192</v>
      </c>
      <c r="N94" s="3" t="s">
        <v>192</v>
      </c>
      <c r="O94" s="3" t="s">
        <v>192</v>
      </c>
      <c r="P94" s="3" t="s">
        <v>192</v>
      </c>
      <c r="Q94" s="3" t="s">
        <v>192</v>
      </c>
      <c r="R94" s="3" t="s">
        <v>192</v>
      </c>
      <c r="S94" s="3" t="s">
        <v>192</v>
      </c>
      <c r="T94" s="3" t="s">
        <v>192</v>
      </c>
      <c r="U94" s="3" t="s">
        <v>192</v>
      </c>
      <c r="V94" s="3" t="s">
        <v>192</v>
      </c>
      <c r="W94" s="3" t="s">
        <v>192</v>
      </c>
      <c r="X94" s="3" t="s">
        <v>192</v>
      </c>
      <c r="Y94" s="3" t="s">
        <v>192</v>
      </c>
      <c r="Z94" s="3" t="s">
        <v>192</v>
      </c>
      <c r="AA94" s="3" t="s">
        <v>192</v>
      </c>
      <c r="AB94" s="3" t="s">
        <v>192</v>
      </c>
      <c r="AC94" s="3" t="s">
        <v>192</v>
      </c>
      <c r="AD94" s="3" t="s">
        <v>192</v>
      </c>
      <c r="AE94" s="3" t="s">
        <v>192</v>
      </c>
      <c r="AF94" s="3" t="s">
        <v>192</v>
      </c>
      <c r="AG94" s="3" t="s">
        <v>192</v>
      </c>
      <c r="AH94" s="3" t="s">
        <v>192</v>
      </c>
      <c r="AI94" s="3" t="s">
        <v>192</v>
      </c>
      <c r="AJ94" s="3" t="s">
        <v>192</v>
      </c>
      <c r="AK94" s="3" t="s">
        <v>192</v>
      </c>
      <c r="AL94" s="3" t="s">
        <v>192</v>
      </c>
      <c r="AM94" s="3" t="s">
        <v>192</v>
      </c>
      <c r="AN94" s="3" t="s">
        <v>192</v>
      </c>
      <c r="AO94" s="3" t="s">
        <v>192</v>
      </c>
      <c r="AP94" s="3" t="s">
        <v>192</v>
      </c>
      <c r="AQ94" s="3">
        <v>1</v>
      </c>
      <c r="AR94" s="3" t="s">
        <v>192</v>
      </c>
      <c r="AS94" s="3" t="s">
        <v>192</v>
      </c>
      <c r="AT94" s="3" t="s">
        <v>192</v>
      </c>
      <c r="AU94" s="3" t="s">
        <v>192</v>
      </c>
      <c r="AV94" s="3" t="s">
        <v>192</v>
      </c>
      <c r="AW94" s="3" t="s">
        <v>192</v>
      </c>
      <c r="AX94" s="3" t="s">
        <v>192</v>
      </c>
      <c r="AY94" s="3" t="s">
        <v>192</v>
      </c>
      <c r="AZ94" s="3" t="s">
        <v>192</v>
      </c>
      <c r="BA94" s="3" t="s">
        <v>192</v>
      </c>
      <c r="BB94" s="3" t="s">
        <v>192</v>
      </c>
      <c r="BC94" s="3">
        <v>1</v>
      </c>
      <c r="BD94" s="3" t="s">
        <v>192</v>
      </c>
      <c r="BE94" s="3" t="s">
        <v>192</v>
      </c>
      <c r="BF94" s="3">
        <v>1</v>
      </c>
      <c r="BG94" s="3" t="s">
        <v>192</v>
      </c>
      <c r="BH94" s="3" t="s">
        <v>192</v>
      </c>
      <c r="BI94" s="3" t="s">
        <v>192</v>
      </c>
      <c r="BJ94" s="3" t="s">
        <v>192</v>
      </c>
      <c r="BK94" s="3" t="s">
        <v>192</v>
      </c>
      <c r="BL94" s="3">
        <v>1</v>
      </c>
      <c r="BM94" s="3" t="s">
        <v>192</v>
      </c>
      <c r="BN94" s="3" t="s">
        <v>192</v>
      </c>
      <c r="BO94" s="3" t="s">
        <v>192</v>
      </c>
      <c r="BP94" s="3" t="s">
        <v>192</v>
      </c>
      <c r="BQ94" s="3" t="s">
        <v>192</v>
      </c>
      <c r="BR94" s="3" t="s">
        <v>192</v>
      </c>
      <c r="BS94" s="3">
        <v>1</v>
      </c>
      <c r="BT94" s="3" t="s">
        <v>192</v>
      </c>
      <c r="BU94" s="3" t="s">
        <v>192</v>
      </c>
      <c r="BV94" s="3" t="s">
        <v>192</v>
      </c>
      <c r="BW94" s="3" t="s">
        <v>192</v>
      </c>
      <c r="BX94" s="3" t="s">
        <v>192</v>
      </c>
      <c r="BY94" s="3" t="s">
        <v>192</v>
      </c>
      <c r="BZ94" s="3" t="s">
        <v>192</v>
      </c>
      <c r="CA94" s="3" t="s">
        <v>192</v>
      </c>
      <c r="CB94" s="3" t="s">
        <v>192</v>
      </c>
      <c r="CC94" s="3" t="s">
        <v>192</v>
      </c>
      <c r="CD94" s="3" t="s">
        <v>192</v>
      </c>
      <c r="CE94" s="3" t="s">
        <v>192</v>
      </c>
      <c r="CF94" s="3" t="s">
        <v>192</v>
      </c>
      <c r="CG94" s="3">
        <v>4</v>
      </c>
      <c r="CH94" s="3" t="s">
        <v>192</v>
      </c>
      <c r="CI94" s="3" t="s">
        <v>192</v>
      </c>
      <c r="CJ94" s="3" t="s">
        <v>192</v>
      </c>
      <c r="CK94" s="3" t="s">
        <v>192</v>
      </c>
      <c r="CL94" s="3" t="s">
        <v>192</v>
      </c>
      <c r="CM94" s="3" t="s">
        <v>192</v>
      </c>
      <c r="CN94" s="3" t="s">
        <v>192</v>
      </c>
      <c r="CO94" s="3" t="s">
        <v>192</v>
      </c>
      <c r="CP94" s="3" t="s">
        <v>192</v>
      </c>
      <c r="CQ94" s="3" t="s">
        <v>192</v>
      </c>
      <c r="CR94" s="3" t="s">
        <v>192</v>
      </c>
      <c r="CS94" s="3" t="s">
        <v>192</v>
      </c>
      <c r="CT94" s="1">
        <f>SUM(Table7[[#This Row],[Acyl_amino_acids]:[T3PKS]])</f>
        <v>12</v>
      </c>
      <c r="CU94" s="3" t="s">
        <v>192</v>
      </c>
      <c r="CW94" s="1">
        <f>Table7[[#This Row],[NRPS]]</f>
        <v>1</v>
      </c>
      <c r="CX94" s="1">
        <f>SUM(CP94,CR94,CS94,Table7[[#This Row],[T1PKS, T3PKS]])</f>
        <v>0</v>
      </c>
      <c r="CY94" s="1">
        <f t="shared" si="1"/>
        <v>1</v>
      </c>
      <c r="CZ94" s="1">
        <f>Table7[[#This Row],[Terpene]]</f>
        <v>4</v>
      </c>
      <c r="DA94" s="1">
        <f>SUM(Table7[[#This Row],[Thiopeptide]],BH94,BF94,BE94,BC94,AZ94,AX94,AW94,AJ94,AH94,N94,L94,J94,H94,I94,K94,R94,Q94,Table7[[#This Row],[Cyanobactin, LAP]])</f>
        <v>5</v>
      </c>
      <c r="DB94" s="1">
        <f>SUM(CO94,CN94,CL94,CK94,CJ94,CI94,CH94,CF94,CE94,CD94,CB94,CA94,BZ94,BY94,BX94,BW94,BV94,BT94,BR94,BQ94,BP94,BO94,BM94,BK94,BJ94,BI94,BG94,BD94,BB94,BA94,AY94,AV94,AU94,AT94,AS94,AR94,AQ94,AP94,AO94,AN94,AM94,AL94,AK94,AG94,AF94,AE94,AD94,AC94,AB94,AA94,Z94,Y94,X94,W94,V94,U94,T94,S94,P94,O94,M94,Table7[[#This Row],[Acyl_amino_acids]],E94,F94,G94,)</f>
        <v>1</v>
      </c>
    </row>
    <row r="95" spans="1:106" x14ac:dyDescent="0.25">
      <c r="A95" s="1" t="s">
        <v>667</v>
      </c>
      <c r="B95" s="1" t="s">
        <v>435</v>
      </c>
      <c r="C95" s="1" t="s">
        <v>244</v>
      </c>
      <c r="D95" s="1" t="s">
        <v>192</v>
      </c>
      <c r="E95" s="1" t="s">
        <v>192</v>
      </c>
      <c r="F95" s="1" t="s">
        <v>192</v>
      </c>
      <c r="G95" s="1" t="s">
        <v>192</v>
      </c>
      <c r="H95" s="1">
        <v>1</v>
      </c>
      <c r="I95" s="1" t="s">
        <v>192</v>
      </c>
      <c r="J95" s="1" t="s">
        <v>192</v>
      </c>
      <c r="K95" s="1" t="s">
        <v>192</v>
      </c>
      <c r="L95" s="1">
        <v>1</v>
      </c>
      <c r="M95" s="1" t="s">
        <v>192</v>
      </c>
      <c r="N95" s="1" t="s">
        <v>192</v>
      </c>
      <c r="O95" s="1" t="s">
        <v>192</v>
      </c>
      <c r="P95" s="1" t="s">
        <v>192</v>
      </c>
      <c r="Q95" s="1" t="s">
        <v>192</v>
      </c>
      <c r="R95" s="1" t="s">
        <v>192</v>
      </c>
      <c r="S95" s="1" t="s">
        <v>192</v>
      </c>
      <c r="T95" s="1" t="s">
        <v>192</v>
      </c>
      <c r="U95" s="1" t="s">
        <v>192</v>
      </c>
      <c r="V95" s="1" t="s">
        <v>192</v>
      </c>
      <c r="W95" s="1" t="s">
        <v>192</v>
      </c>
      <c r="X95" s="1" t="s">
        <v>192</v>
      </c>
      <c r="Y95" s="1" t="s">
        <v>192</v>
      </c>
      <c r="Z95" s="1" t="s">
        <v>192</v>
      </c>
      <c r="AA95" s="1" t="s">
        <v>192</v>
      </c>
      <c r="AB95" s="1" t="s">
        <v>192</v>
      </c>
      <c r="AC95" s="1" t="s">
        <v>192</v>
      </c>
      <c r="AD95" s="1" t="s">
        <v>192</v>
      </c>
      <c r="AE95" s="1" t="s">
        <v>192</v>
      </c>
      <c r="AF95" s="1" t="s">
        <v>192</v>
      </c>
      <c r="AG95" s="1" t="s">
        <v>192</v>
      </c>
      <c r="AH95" s="1" t="s">
        <v>192</v>
      </c>
      <c r="AI95" s="1" t="s">
        <v>192</v>
      </c>
      <c r="AJ95" s="1" t="s">
        <v>192</v>
      </c>
      <c r="AK95" s="1" t="s">
        <v>192</v>
      </c>
      <c r="AL95" s="1" t="s">
        <v>192</v>
      </c>
      <c r="AM95" s="1" t="s">
        <v>192</v>
      </c>
      <c r="AN95" s="1" t="s">
        <v>192</v>
      </c>
      <c r="AO95" s="1">
        <v>1</v>
      </c>
      <c r="AP95" s="1" t="s">
        <v>192</v>
      </c>
      <c r="AQ95" s="1">
        <v>1</v>
      </c>
      <c r="AR95" s="1" t="s">
        <v>192</v>
      </c>
      <c r="AS95" s="1" t="s">
        <v>192</v>
      </c>
      <c r="AT95" s="1" t="s">
        <v>192</v>
      </c>
      <c r="AU95" s="1" t="s">
        <v>192</v>
      </c>
      <c r="AV95" s="1" t="s">
        <v>192</v>
      </c>
      <c r="AW95" s="1">
        <v>1</v>
      </c>
      <c r="AX95" s="1" t="s">
        <v>192</v>
      </c>
      <c r="AY95" s="1" t="s">
        <v>192</v>
      </c>
      <c r="AZ95" s="1" t="s">
        <v>192</v>
      </c>
      <c r="BA95" s="1" t="s">
        <v>192</v>
      </c>
      <c r="BB95" s="1" t="s">
        <v>192</v>
      </c>
      <c r="BC95" s="1" t="s">
        <v>192</v>
      </c>
      <c r="BD95" s="1" t="s">
        <v>192</v>
      </c>
      <c r="BE95" s="1" t="s">
        <v>192</v>
      </c>
      <c r="BF95" s="1" t="s">
        <v>192</v>
      </c>
      <c r="BG95" s="1" t="s">
        <v>192</v>
      </c>
      <c r="BH95" s="1" t="s">
        <v>192</v>
      </c>
      <c r="BI95" s="1" t="s">
        <v>192</v>
      </c>
      <c r="BJ95" s="1" t="s">
        <v>192</v>
      </c>
      <c r="BK95" s="1" t="s">
        <v>192</v>
      </c>
      <c r="BL95" s="1">
        <v>1</v>
      </c>
      <c r="BM95" s="1" t="s">
        <v>192</v>
      </c>
      <c r="BN95" s="1" t="s">
        <v>192</v>
      </c>
      <c r="BO95" s="1" t="s">
        <v>192</v>
      </c>
      <c r="BP95" s="1" t="s">
        <v>192</v>
      </c>
      <c r="BQ95" s="1" t="s">
        <v>192</v>
      </c>
      <c r="BR95" s="1" t="s">
        <v>192</v>
      </c>
      <c r="BS95" s="1">
        <v>2</v>
      </c>
      <c r="BT95" s="1" t="s">
        <v>192</v>
      </c>
      <c r="BU95" s="1" t="s">
        <v>192</v>
      </c>
      <c r="BV95" s="1" t="s">
        <v>192</v>
      </c>
      <c r="BW95" s="1" t="s">
        <v>192</v>
      </c>
      <c r="BX95" s="1" t="s">
        <v>192</v>
      </c>
      <c r="BY95" s="1" t="s">
        <v>192</v>
      </c>
      <c r="BZ95" s="1" t="s">
        <v>192</v>
      </c>
      <c r="CA95" s="1" t="s">
        <v>192</v>
      </c>
      <c r="CB95" s="1" t="s">
        <v>192</v>
      </c>
      <c r="CC95" s="1" t="s">
        <v>192</v>
      </c>
      <c r="CD95" s="1" t="s">
        <v>192</v>
      </c>
      <c r="CE95" s="1" t="s">
        <v>192</v>
      </c>
      <c r="CF95" s="1">
        <v>1</v>
      </c>
      <c r="CG95" s="1">
        <v>4</v>
      </c>
      <c r="CH95" s="1" t="s">
        <v>192</v>
      </c>
      <c r="CI95" s="1" t="s">
        <v>192</v>
      </c>
      <c r="CJ95" s="1" t="s">
        <v>192</v>
      </c>
      <c r="CK95" s="1" t="s">
        <v>192</v>
      </c>
      <c r="CL95" s="1" t="s">
        <v>192</v>
      </c>
      <c r="CM95" s="1" t="s">
        <v>192</v>
      </c>
      <c r="CN95" s="1" t="s">
        <v>192</v>
      </c>
      <c r="CO95" s="1" t="s">
        <v>192</v>
      </c>
      <c r="CP95" s="1" t="s">
        <v>192</v>
      </c>
      <c r="CQ95" s="1" t="s">
        <v>192</v>
      </c>
      <c r="CR95" s="1" t="s">
        <v>192</v>
      </c>
      <c r="CS95" s="1" t="s">
        <v>192</v>
      </c>
      <c r="CT95" s="1">
        <f>SUM(Table7[[#This Row],[Acyl_amino_acids]:[T3PKS]])</f>
        <v>13</v>
      </c>
      <c r="CU95" s="1" t="s">
        <v>196</v>
      </c>
      <c r="CW95" s="1">
        <f>Table7[[#This Row],[NRPS]]</f>
        <v>1</v>
      </c>
      <c r="CX95" s="1">
        <f>SUM(CP95,CR95,CS95,Table7[[#This Row],[T1PKS, T3PKS]])</f>
        <v>0</v>
      </c>
      <c r="CY95" s="1">
        <f t="shared" si="1"/>
        <v>2</v>
      </c>
      <c r="CZ95" s="1">
        <f>Table7[[#This Row],[Terpene]]</f>
        <v>4</v>
      </c>
      <c r="DA95" s="1">
        <f>SUM(Table7[[#This Row],[Thiopeptide]],BH95,BF95,BE95,BC95,AZ95,AX95,AW95,AJ95,AH95,N95,L95,J95,H95,I95,K95,R95,Q95,Table7[[#This Row],[Cyanobactin, LAP]])</f>
        <v>3</v>
      </c>
      <c r="DB95" s="1">
        <f>SUM(CO95,CN95,CL95,CK95,CJ95,CI95,CH95,CF95,CE95,CD95,CB95,CA95,BZ95,BY95,BX95,BW95,BV95,BT95,BR95,BQ95,BP95,BO95,BM95,BK95,BJ95,BI95,BG95,BD95,BB95,BA95,AY95,AV95,AU95,AT95,AS95,AR95,AQ95,AP95,AO95,AN95,AM95,AL95,AK95,AG95,AF95,AE95,AD95,AC95,AB95,AA95,Z95,Y95,X95,W95,V95,U95,T95,S95,P95,O95,M95,Table7[[#This Row],[Acyl_amino_acids]],E95,F95,G95,)</f>
        <v>3</v>
      </c>
    </row>
    <row r="96" spans="1:106" x14ac:dyDescent="0.25">
      <c r="A96" s="9" t="s">
        <v>712</v>
      </c>
      <c r="B96" s="1" t="s">
        <v>435</v>
      </c>
      <c r="C96" s="1" t="s">
        <v>334</v>
      </c>
      <c r="D96" s="1" t="s">
        <v>192</v>
      </c>
      <c r="E96" s="1" t="s">
        <v>192</v>
      </c>
      <c r="F96" s="3" t="s">
        <v>192</v>
      </c>
      <c r="G96" s="3" t="s">
        <v>192</v>
      </c>
      <c r="H96" s="3">
        <v>1</v>
      </c>
      <c r="I96" s="3" t="s">
        <v>192</v>
      </c>
      <c r="J96" s="3" t="s">
        <v>192</v>
      </c>
      <c r="K96" s="3" t="s">
        <v>192</v>
      </c>
      <c r="L96" s="3" t="s">
        <v>192</v>
      </c>
      <c r="M96" s="3" t="s">
        <v>192</v>
      </c>
      <c r="N96" s="3" t="s">
        <v>192</v>
      </c>
      <c r="O96" s="3" t="s">
        <v>192</v>
      </c>
      <c r="P96" s="3" t="s">
        <v>192</v>
      </c>
      <c r="Q96" s="3" t="s">
        <v>192</v>
      </c>
      <c r="R96" s="3" t="s">
        <v>192</v>
      </c>
      <c r="S96" s="3" t="s">
        <v>192</v>
      </c>
      <c r="T96" s="3" t="s">
        <v>192</v>
      </c>
      <c r="U96" s="3" t="s">
        <v>192</v>
      </c>
      <c r="V96" s="3" t="s">
        <v>192</v>
      </c>
      <c r="W96" s="3">
        <v>1</v>
      </c>
      <c r="X96" s="3" t="s">
        <v>192</v>
      </c>
      <c r="Y96" s="3" t="s">
        <v>192</v>
      </c>
      <c r="Z96" s="3" t="s">
        <v>192</v>
      </c>
      <c r="AA96" s="3" t="s">
        <v>192</v>
      </c>
      <c r="AB96" s="3" t="s">
        <v>192</v>
      </c>
      <c r="AC96" s="3" t="s">
        <v>192</v>
      </c>
      <c r="AD96" s="3" t="s">
        <v>192</v>
      </c>
      <c r="AE96" s="3" t="s">
        <v>192</v>
      </c>
      <c r="AF96" s="3" t="s">
        <v>192</v>
      </c>
      <c r="AG96" s="3" t="s">
        <v>192</v>
      </c>
      <c r="AH96" s="3" t="s">
        <v>192</v>
      </c>
      <c r="AI96" s="3" t="s">
        <v>192</v>
      </c>
      <c r="AJ96" s="3" t="s">
        <v>192</v>
      </c>
      <c r="AK96" s="3" t="s">
        <v>192</v>
      </c>
      <c r="AL96" s="3">
        <v>1</v>
      </c>
      <c r="AM96" s="3" t="s">
        <v>192</v>
      </c>
      <c r="AN96" s="3" t="s">
        <v>192</v>
      </c>
      <c r="AO96" s="3">
        <v>1</v>
      </c>
      <c r="AP96" s="3" t="s">
        <v>192</v>
      </c>
      <c r="AQ96" s="3">
        <v>1</v>
      </c>
      <c r="AR96" s="3" t="s">
        <v>192</v>
      </c>
      <c r="AS96" s="3" t="s">
        <v>192</v>
      </c>
      <c r="AT96" s="3" t="s">
        <v>192</v>
      </c>
      <c r="AU96" s="3" t="s">
        <v>192</v>
      </c>
      <c r="AV96" s="3" t="s">
        <v>192</v>
      </c>
      <c r="AW96" s="3" t="s">
        <v>192</v>
      </c>
      <c r="AX96" s="3" t="s">
        <v>192</v>
      </c>
      <c r="AY96" s="3" t="s">
        <v>192</v>
      </c>
      <c r="AZ96" s="3">
        <v>1</v>
      </c>
      <c r="BA96" s="3" t="s">
        <v>192</v>
      </c>
      <c r="BB96" s="3" t="s">
        <v>192</v>
      </c>
      <c r="BC96" s="3">
        <v>1</v>
      </c>
      <c r="BD96" s="3" t="s">
        <v>192</v>
      </c>
      <c r="BE96" s="3" t="s">
        <v>192</v>
      </c>
      <c r="BF96" s="3">
        <v>1</v>
      </c>
      <c r="BG96" s="3" t="s">
        <v>192</v>
      </c>
      <c r="BH96" s="3" t="s">
        <v>192</v>
      </c>
      <c r="BI96" s="3" t="s">
        <v>192</v>
      </c>
      <c r="BJ96" s="3" t="s">
        <v>192</v>
      </c>
      <c r="BK96" s="3" t="s">
        <v>192</v>
      </c>
      <c r="BL96" s="3">
        <v>1</v>
      </c>
      <c r="BM96" s="3" t="s">
        <v>192</v>
      </c>
      <c r="BN96" s="3" t="s">
        <v>192</v>
      </c>
      <c r="BO96" s="3" t="s">
        <v>192</v>
      </c>
      <c r="BP96" s="3" t="s">
        <v>192</v>
      </c>
      <c r="BQ96" s="3" t="s">
        <v>192</v>
      </c>
      <c r="BR96" s="3" t="s">
        <v>192</v>
      </c>
      <c r="BS96" s="3" t="s">
        <v>192</v>
      </c>
      <c r="BT96" s="3" t="s">
        <v>192</v>
      </c>
      <c r="BU96" s="3" t="s">
        <v>192</v>
      </c>
      <c r="BV96" s="3" t="s">
        <v>192</v>
      </c>
      <c r="BW96" s="3" t="s">
        <v>192</v>
      </c>
      <c r="BX96" s="3" t="s">
        <v>192</v>
      </c>
      <c r="BY96" s="3" t="s">
        <v>192</v>
      </c>
      <c r="BZ96" s="3" t="s">
        <v>192</v>
      </c>
      <c r="CA96" s="3" t="s">
        <v>192</v>
      </c>
      <c r="CB96" s="3" t="s">
        <v>192</v>
      </c>
      <c r="CC96" s="3" t="s">
        <v>192</v>
      </c>
      <c r="CD96" s="3" t="s">
        <v>192</v>
      </c>
      <c r="CE96" s="3" t="s">
        <v>192</v>
      </c>
      <c r="CF96" s="3" t="s">
        <v>192</v>
      </c>
      <c r="CG96" s="3">
        <v>5</v>
      </c>
      <c r="CH96" s="3" t="s">
        <v>192</v>
      </c>
      <c r="CI96" s="3" t="s">
        <v>192</v>
      </c>
      <c r="CJ96" s="3" t="s">
        <v>192</v>
      </c>
      <c r="CK96" s="3" t="s">
        <v>192</v>
      </c>
      <c r="CL96" s="3" t="s">
        <v>192</v>
      </c>
      <c r="CM96" s="3" t="s">
        <v>192</v>
      </c>
      <c r="CN96" s="3" t="s">
        <v>192</v>
      </c>
      <c r="CO96" s="3" t="s">
        <v>192</v>
      </c>
      <c r="CP96" s="3">
        <v>1</v>
      </c>
      <c r="CQ96" s="3" t="s">
        <v>192</v>
      </c>
      <c r="CR96" s="3" t="s">
        <v>192</v>
      </c>
      <c r="CS96" s="3" t="s">
        <v>192</v>
      </c>
      <c r="CT96" s="1">
        <f>SUM(Table7[[#This Row],[Acyl_amino_acids]:[T3PKS]])</f>
        <v>15</v>
      </c>
      <c r="CU96" s="3" t="s">
        <v>499</v>
      </c>
      <c r="CW96" s="1">
        <f>Table7[[#This Row],[NRPS]]</f>
        <v>1</v>
      </c>
      <c r="CX96" s="1">
        <f>SUM(CP96,CR96,CS96,Table7[[#This Row],[T1PKS, T3PKS]])</f>
        <v>1</v>
      </c>
      <c r="CY96" s="1">
        <f t="shared" si="1"/>
        <v>0</v>
      </c>
      <c r="CZ96" s="1">
        <f>Table7[[#This Row],[Terpene]]</f>
        <v>5</v>
      </c>
      <c r="DA96" s="1">
        <f>SUM(Table7[[#This Row],[Thiopeptide]],BH96,BF96,BE96,BC96,AZ96,AX96,AW96,AJ96,AH96,N96,L96,J96,H96,I96,K96,R96,Q96,Table7[[#This Row],[Cyanobactin, LAP]])</f>
        <v>4</v>
      </c>
      <c r="DB96" s="1">
        <f>SUM(CO96,CN96,CL96,CK96,CJ96,CI96,CH96,CF96,CE96,CD96,CB96,CA96,BZ96,BY96,BX96,BW96,BV96,BT96,BR96,BQ96,BP96,BO96,BM96,BK96,BJ96,BI96,BG96,BD96,BB96,BA96,AY96,AV96,AU96,AT96,AS96,AR96,AQ96,AP96,AO96,AN96,AM96,AL96,AK96,AG96,AF96,AE96,AD96,AC96,AB96,AA96,Z96,Y96,X96,W96,V96,U96,T96,S96,P96,O96,M96,Table7[[#This Row],[Acyl_amino_acids]],E96,F96,G96,)</f>
        <v>4</v>
      </c>
    </row>
    <row r="97" spans="1:106" x14ac:dyDescent="0.25">
      <c r="A97" s="9" t="s">
        <v>787</v>
      </c>
      <c r="B97" s="1" t="s">
        <v>435</v>
      </c>
      <c r="C97" s="1" t="s">
        <v>327</v>
      </c>
      <c r="D97" s="3" t="s">
        <v>192</v>
      </c>
      <c r="E97" s="3" t="s">
        <v>192</v>
      </c>
      <c r="F97" s="3" t="s">
        <v>192</v>
      </c>
      <c r="G97" s="3" t="s">
        <v>192</v>
      </c>
      <c r="H97" s="3">
        <v>1</v>
      </c>
      <c r="I97" s="3" t="s">
        <v>192</v>
      </c>
      <c r="J97" s="3" t="s">
        <v>192</v>
      </c>
      <c r="K97" s="3" t="s">
        <v>192</v>
      </c>
      <c r="L97" s="3" t="s">
        <v>192</v>
      </c>
      <c r="M97" s="3" t="s">
        <v>192</v>
      </c>
      <c r="N97" s="3" t="s">
        <v>192</v>
      </c>
      <c r="O97" s="3">
        <v>1</v>
      </c>
      <c r="P97" s="3" t="s">
        <v>192</v>
      </c>
      <c r="Q97" s="3" t="s">
        <v>192</v>
      </c>
      <c r="R97" s="3" t="s">
        <v>192</v>
      </c>
      <c r="S97" s="3" t="s">
        <v>192</v>
      </c>
      <c r="T97" s="3" t="s">
        <v>192</v>
      </c>
      <c r="U97" s="3" t="s">
        <v>192</v>
      </c>
      <c r="V97" s="3" t="s">
        <v>192</v>
      </c>
      <c r="W97" s="3" t="s">
        <v>192</v>
      </c>
      <c r="X97" s="3" t="s">
        <v>192</v>
      </c>
      <c r="Y97" s="3" t="s">
        <v>192</v>
      </c>
      <c r="Z97" s="3" t="s">
        <v>192</v>
      </c>
      <c r="AA97" s="3" t="s">
        <v>192</v>
      </c>
      <c r="AB97" s="3">
        <v>1</v>
      </c>
      <c r="AC97" s="3" t="s">
        <v>192</v>
      </c>
      <c r="AD97" s="3" t="s">
        <v>192</v>
      </c>
      <c r="AE97" s="3" t="s">
        <v>192</v>
      </c>
      <c r="AF97" s="3" t="s">
        <v>192</v>
      </c>
      <c r="AG97" s="3" t="s">
        <v>192</v>
      </c>
      <c r="AH97" s="3" t="s">
        <v>192</v>
      </c>
      <c r="AI97" s="3" t="s">
        <v>192</v>
      </c>
      <c r="AJ97" s="3" t="s">
        <v>192</v>
      </c>
      <c r="AK97" s="3" t="s">
        <v>192</v>
      </c>
      <c r="AL97" s="3" t="s">
        <v>192</v>
      </c>
      <c r="AM97" s="3" t="s">
        <v>192</v>
      </c>
      <c r="AN97" s="3" t="s">
        <v>192</v>
      </c>
      <c r="AO97" s="3" t="s">
        <v>192</v>
      </c>
      <c r="AP97" s="3" t="s">
        <v>192</v>
      </c>
      <c r="AQ97" s="3">
        <v>1</v>
      </c>
      <c r="AR97" s="3" t="s">
        <v>192</v>
      </c>
      <c r="AS97" s="3" t="s">
        <v>192</v>
      </c>
      <c r="AT97" s="3" t="s">
        <v>192</v>
      </c>
      <c r="AU97" s="3" t="s">
        <v>192</v>
      </c>
      <c r="AV97" s="3" t="s">
        <v>192</v>
      </c>
      <c r="AW97" s="3" t="s">
        <v>192</v>
      </c>
      <c r="AX97" s="3" t="s">
        <v>192</v>
      </c>
      <c r="AY97" s="3" t="s">
        <v>192</v>
      </c>
      <c r="AZ97" s="3" t="s">
        <v>192</v>
      </c>
      <c r="BA97" s="3" t="s">
        <v>192</v>
      </c>
      <c r="BB97" s="3" t="s">
        <v>192</v>
      </c>
      <c r="BC97" s="3" t="s">
        <v>192</v>
      </c>
      <c r="BD97" s="3" t="s">
        <v>192</v>
      </c>
      <c r="BE97" s="3" t="s">
        <v>192</v>
      </c>
      <c r="BF97" s="3" t="s">
        <v>192</v>
      </c>
      <c r="BG97" s="3" t="s">
        <v>192</v>
      </c>
      <c r="BH97" s="3">
        <v>1</v>
      </c>
      <c r="BI97" s="3" t="s">
        <v>192</v>
      </c>
      <c r="BJ97" s="3" t="s">
        <v>192</v>
      </c>
      <c r="BK97" s="3" t="s">
        <v>192</v>
      </c>
      <c r="BL97" s="3">
        <v>3</v>
      </c>
      <c r="BM97" s="3">
        <v>1</v>
      </c>
      <c r="BN97" s="3" t="s">
        <v>192</v>
      </c>
      <c r="BO97" s="3" t="s">
        <v>192</v>
      </c>
      <c r="BP97" s="3" t="s">
        <v>192</v>
      </c>
      <c r="BQ97" s="3" t="s">
        <v>192</v>
      </c>
      <c r="BR97" s="3" t="s">
        <v>192</v>
      </c>
      <c r="BS97" s="3">
        <v>2</v>
      </c>
      <c r="BT97" s="3" t="s">
        <v>192</v>
      </c>
      <c r="BU97" s="3" t="s">
        <v>192</v>
      </c>
      <c r="BV97" s="3" t="s">
        <v>192</v>
      </c>
      <c r="BW97" s="3" t="s">
        <v>192</v>
      </c>
      <c r="BX97" s="3" t="s">
        <v>192</v>
      </c>
      <c r="BY97" s="3" t="s">
        <v>192</v>
      </c>
      <c r="BZ97" s="3" t="s">
        <v>192</v>
      </c>
      <c r="CA97" s="3" t="s">
        <v>192</v>
      </c>
      <c r="CB97" s="3" t="s">
        <v>192</v>
      </c>
      <c r="CC97" s="3" t="s">
        <v>192</v>
      </c>
      <c r="CD97" s="3" t="s">
        <v>192</v>
      </c>
      <c r="CE97" s="3" t="s">
        <v>192</v>
      </c>
      <c r="CF97" s="3" t="s">
        <v>192</v>
      </c>
      <c r="CG97" s="3">
        <v>5</v>
      </c>
      <c r="CH97" s="3" t="s">
        <v>192</v>
      </c>
      <c r="CI97" s="3" t="s">
        <v>192</v>
      </c>
      <c r="CJ97" s="3" t="s">
        <v>192</v>
      </c>
      <c r="CK97" s="3">
        <v>1</v>
      </c>
      <c r="CL97" s="3" t="s">
        <v>192</v>
      </c>
      <c r="CM97" s="3" t="s">
        <v>192</v>
      </c>
      <c r="CN97" s="3" t="s">
        <v>192</v>
      </c>
      <c r="CO97" s="3" t="s">
        <v>192</v>
      </c>
      <c r="CP97" s="3">
        <v>1</v>
      </c>
      <c r="CQ97" s="3" t="s">
        <v>192</v>
      </c>
      <c r="CR97" s="3" t="s">
        <v>192</v>
      </c>
      <c r="CS97" s="3" t="s">
        <v>192</v>
      </c>
      <c r="CT97" s="1">
        <f>SUM(Table7[[#This Row],[Acyl_amino_acids]:[T3PKS]])</f>
        <v>18</v>
      </c>
      <c r="CU97" s="2" t="s">
        <v>587</v>
      </c>
      <c r="CW97" s="1">
        <f>Table7[[#This Row],[NRPS]]</f>
        <v>3</v>
      </c>
      <c r="CX97" s="1">
        <f>SUM(CP97,CR97,CS97,Table7[[#This Row],[T1PKS, T3PKS]])</f>
        <v>1</v>
      </c>
      <c r="CY97" s="1">
        <f t="shared" si="1"/>
        <v>2</v>
      </c>
      <c r="CZ97" s="1">
        <f>Table7[[#This Row],[Terpene]]</f>
        <v>5</v>
      </c>
      <c r="DA97" s="1">
        <f>SUM(Table7[[#This Row],[Thiopeptide]],BH97,BF97,BE97,BC97,AZ97,AX97,AW97,AJ97,AH97,N97,L97,J97,H97,I97,K97,R97,Q97,Table7[[#This Row],[Cyanobactin, LAP]])</f>
        <v>2</v>
      </c>
      <c r="DB97" s="1">
        <f>SUM(CO97,CN97,CL97,CK97,CJ97,CI97,CH97,CF97,CE97,CD97,CB97,CA97,BZ97,BY97,BX97,BW97,BV97,BT97,BR97,BQ97,BP97,BO97,BM97,BK97,BJ97,BI97,BG97,BD97,BB97,BA97,AY97,AV97,AU97,AT97,AS97,AR97,AQ97,AP97,AO97,AN97,AM97,AL97,AK97,AG97,AF97,AE97,AD97,AC97,AB97,AA97,Z97,Y97,X97,W97,V97,U97,T97,S97,P97,O97,M97,Table7[[#This Row],[Acyl_amino_acids]],E97,F97,G97,)</f>
        <v>5</v>
      </c>
    </row>
    <row r="98" spans="1:106" x14ac:dyDescent="0.25">
      <c r="A98" s="19" t="s">
        <v>932</v>
      </c>
      <c r="B98" s="1" t="s">
        <v>435</v>
      </c>
      <c r="C98" s="1" t="s">
        <v>419</v>
      </c>
      <c r="D98" s="3" t="s">
        <v>192</v>
      </c>
      <c r="E98" s="3" t="s">
        <v>192</v>
      </c>
      <c r="F98" s="3" t="s">
        <v>192</v>
      </c>
      <c r="G98" s="3" t="s">
        <v>192</v>
      </c>
      <c r="H98" s="3">
        <v>3</v>
      </c>
      <c r="I98" s="3" t="s">
        <v>192</v>
      </c>
      <c r="J98" s="3" t="s">
        <v>192</v>
      </c>
      <c r="K98" s="3" t="s">
        <v>192</v>
      </c>
      <c r="L98" s="3" t="s">
        <v>192</v>
      </c>
      <c r="M98" s="3" t="s">
        <v>192</v>
      </c>
      <c r="N98" s="3" t="s">
        <v>192</v>
      </c>
      <c r="O98" s="3" t="s">
        <v>192</v>
      </c>
      <c r="P98" s="3" t="s">
        <v>192</v>
      </c>
      <c r="Q98" s="3" t="s">
        <v>192</v>
      </c>
      <c r="R98" s="3" t="s">
        <v>192</v>
      </c>
      <c r="S98" s="3" t="s">
        <v>192</v>
      </c>
      <c r="T98" s="3" t="s">
        <v>192</v>
      </c>
      <c r="U98" s="3" t="s">
        <v>192</v>
      </c>
      <c r="V98" s="3" t="s">
        <v>192</v>
      </c>
      <c r="W98" s="3" t="s">
        <v>192</v>
      </c>
      <c r="X98" s="3" t="s">
        <v>192</v>
      </c>
      <c r="Y98" s="3" t="s">
        <v>192</v>
      </c>
      <c r="Z98" s="3" t="s">
        <v>192</v>
      </c>
      <c r="AA98" s="3" t="s">
        <v>192</v>
      </c>
      <c r="AB98" s="3" t="s">
        <v>192</v>
      </c>
      <c r="AC98" s="3" t="s">
        <v>192</v>
      </c>
      <c r="AD98" s="3" t="s">
        <v>192</v>
      </c>
      <c r="AE98" s="3" t="s">
        <v>192</v>
      </c>
      <c r="AF98" s="3" t="s">
        <v>192</v>
      </c>
      <c r="AG98" s="3" t="s">
        <v>192</v>
      </c>
      <c r="AH98" s="3" t="s">
        <v>192</v>
      </c>
      <c r="AI98" s="3" t="s">
        <v>192</v>
      </c>
      <c r="AJ98" s="3" t="s">
        <v>192</v>
      </c>
      <c r="AK98" s="3" t="s">
        <v>192</v>
      </c>
      <c r="AL98" s="3" t="s">
        <v>192</v>
      </c>
      <c r="AM98" s="3" t="s">
        <v>192</v>
      </c>
      <c r="AN98" s="3" t="s">
        <v>192</v>
      </c>
      <c r="AO98" s="3" t="s">
        <v>192</v>
      </c>
      <c r="AP98" s="3" t="s">
        <v>192</v>
      </c>
      <c r="AQ98" s="3">
        <v>1</v>
      </c>
      <c r="AR98" s="3" t="s">
        <v>192</v>
      </c>
      <c r="AS98" s="3" t="s">
        <v>192</v>
      </c>
      <c r="AT98" s="3" t="s">
        <v>192</v>
      </c>
      <c r="AU98" s="3" t="s">
        <v>192</v>
      </c>
      <c r="AV98" s="3" t="s">
        <v>192</v>
      </c>
      <c r="AW98" s="3" t="s">
        <v>192</v>
      </c>
      <c r="AX98" s="3" t="s">
        <v>192</v>
      </c>
      <c r="AY98" s="3" t="s">
        <v>192</v>
      </c>
      <c r="AZ98" s="3" t="s">
        <v>192</v>
      </c>
      <c r="BA98" s="3" t="s">
        <v>192</v>
      </c>
      <c r="BB98" s="3" t="s">
        <v>192</v>
      </c>
      <c r="BC98" s="3" t="s">
        <v>192</v>
      </c>
      <c r="BD98" s="3" t="s">
        <v>192</v>
      </c>
      <c r="BE98" s="3" t="s">
        <v>192</v>
      </c>
      <c r="BF98" s="3" t="s">
        <v>192</v>
      </c>
      <c r="BG98" s="3" t="s">
        <v>192</v>
      </c>
      <c r="BH98" s="3" t="s">
        <v>192</v>
      </c>
      <c r="BI98" s="3" t="s">
        <v>192</v>
      </c>
      <c r="BJ98" s="3" t="s">
        <v>192</v>
      </c>
      <c r="BK98" s="3" t="s">
        <v>192</v>
      </c>
      <c r="BL98" s="3">
        <v>1</v>
      </c>
      <c r="BM98" s="3" t="s">
        <v>192</v>
      </c>
      <c r="BN98" s="3" t="s">
        <v>192</v>
      </c>
      <c r="BO98" s="3" t="s">
        <v>192</v>
      </c>
      <c r="BP98" s="3" t="s">
        <v>192</v>
      </c>
      <c r="BQ98" s="3" t="s">
        <v>192</v>
      </c>
      <c r="BR98" s="3" t="s">
        <v>192</v>
      </c>
      <c r="BS98" s="3" t="s">
        <v>192</v>
      </c>
      <c r="BT98" s="3" t="s">
        <v>192</v>
      </c>
      <c r="BU98" s="3" t="s">
        <v>192</v>
      </c>
      <c r="BV98" s="3" t="s">
        <v>192</v>
      </c>
      <c r="BW98" s="3" t="s">
        <v>192</v>
      </c>
      <c r="BX98" s="3" t="s">
        <v>192</v>
      </c>
      <c r="BY98" s="3" t="s">
        <v>192</v>
      </c>
      <c r="BZ98" s="3" t="s">
        <v>192</v>
      </c>
      <c r="CA98" s="3" t="s">
        <v>192</v>
      </c>
      <c r="CB98" s="3" t="s">
        <v>192</v>
      </c>
      <c r="CC98" s="3" t="s">
        <v>192</v>
      </c>
      <c r="CD98" s="3" t="s">
        <v>192</v>
      </c>
      <c r="CE98" s="3" t="s">
        <v>192</v>
      </c>
      <c r="CF98" s="3" t="s">
        <v>192</v>
      </c>
      <c r="CG98" s="3">
        <v>3</v>
      </c>
      <c r="CH98" s="3" t="s">
        <v>192</v>
      </c>
      <c r="CI98" s="3" t="s">
        <v>192</v>
      </c>
      <c r="CJ98" s="3" t="s">
        <v>192</v>
      </c>
      <c r="CK98" s="3" t="s">
        <v>192</v>
      </c>
      <c r="CL98" s="3" t="s">
        <v>192</v>
      </c>
      <c r="CM98" s="3" t="s">
        <v>192</v>
      </c>
      <c r="CN98" s="3" t="s">
        <v>192</v>
      </c>
      <c r="CO98" s="3" t="s">
        <v>192</v>
      </c>
      <c r="CP98" s="3" t="s">
        <v>192</v>
      </c>
      <c r="CQ98" s="3" t="s">
        <v>192</v>
      </c>
      <c r="CR98" s="3" t="s">
        <v>192</v>
      </c>
      <c r="CS98" s="3" t="s">
        <v>192</v>
      </c>
      <c r="CT98" s="1">
        <f>SUM(Table7[[#This Row],[Acyl_amino_acids]:[T3PKS]])</f>
        <v>8</v>
      </c>
      <c r="CU98" s="3" t="s">
        <v>196</v>
      </c>
      <c r="CW98" s="1">
        <f>Table7[[#This Row],[NRPS]]</f>
        <v>1</v>
      </c>
      <c r="CX98" s="1">
        <f>SUM(CP98,CR98,CS98,Table7[[#This Row],[T1PKS, T3PKS]])</f>
        <v>0</v>
      </c>
      <c r="CY98" s="1">
        <f t="shared" si="1"/>
        <v>0</v>
      </c>
      <c r="CZ98" s="1">
        <f>Table7[[#This Row],[Terpene]]</f>
        <v>3</v>
      </c>
      <c r="DA98" s="1">
        <f>SUM(Table7[[#This Row],[Thiopeptide]],BH98,BF98,BE98,BC98,AZ98,AX98,AW98,AJ98,AH98,N98,L98,J98,H98,I98,K98,R98,Q98,Table7[[#This Row],[Cyanobactin, LAP]])</f>
        <v>3</v>
      </c>
      <c r="DB98" s="1">
        <f>SUM(CO98,CN98,CL98,CK98,CJ98,CI98,CH98,CF98,CE98,CD98,CB98,CA98,BZ98,BY98,BX98,BW98,BV98,BT98,BR98,BQ98,BP98,BO98,BM98,BK98,BJ98,BI98,BG98,BD98,BB98,BA98,AY98,AV98,AU98,AT98,AS98,AR98,AQ98,AP98,AO98,AN98,AM98,AL98,AK98,AG98,AF98,AE98,AD98,AC98,AB98,AA98,Z98,Y98,X98,W98,V98,U98,T98,S98,P98,O98,M98,Table7[[#This Row],[Acyl_amino_acids]],E98,F98,G98,)</f>
        <v>1</v>
      </c>
    </row>
    <row r="99" spans="1:106" x14ac:dyDescent="0.25">
      <c r="A99" s="9" t="s">
        <v>803</v>
      </c>
      <c r="B99" s="1" t="s">
        <v>608</v>
      </c>
      <c r="C99" s="1" t="s">
        <v>605</v>
      </c>
      <c r="D99" s="3" t="s">
        <v>192</v>
      </c>
      <c r="E99" s="3" t="s">
        <v>192</v>
      </c>
      <c r="F99" s="3" t="s">
        <v>192</v>
      </c>
      <c r="G99" s="3" t="s">
        <v>192</v>
      </c>
      <c r="H99" s="3">
        <v>2</v>
      </c>
      <c r="I99" s="3" t="s">
        <v>192</v>
      </c>
      <c r="J99" s="3" t="s">
        <v>192</v>
      </c>
      <c r="K99" s="3" t="s">
        <v>192</v>
      </c>
      <c r="L99" s="3" t="s">
        <v>192</v>
      </c>
      <c r="M99" s="3" t="s">
        <v>192</v>
      </c>
      <c r="N99" s="3" t="s">
        <v>192</v>
      </c>
      <c r="O99" s="3" t="s">
        <v>192</v>
      </c>
      <c r="P99" s="3" t="s">
        <v>192</v>
      </c>
      <c r="Q99" s="3" t="s">
        <v>192</v>
      </c>
      <c r="R99" s="3" t="s">
        <v>192</v>
      </c>
      <c r="S99" s="3" t="s">
        <v>192</v>
      </c>
      <c r="T99" s="3" t="s">
        <v>192</v>
      </c>
      <c r="U99" s="3" t="s">
        <v>192</v>
      </c>
      <c r="V99" s="3" t="s">
        <v>192</v>
      </c>
      <c r="W99" s="3" t="s">
        <v>192</v>
      </c>
      <c r="X99" s="3" t="s">
        <v>192</v>
      </c>
      <c r="Y99" s="3" t="s">
        <v>192</v>
      </c>
      <c r="Z99" s="3" t="s">
        <v>192</v>
      </c>
      <c r="AA99" s="3" t="s">
        <v>192</v>
      </c>
      <c r="AB99" s="3" t="s">
        <v>192</v>
      </c>
      <c r="AC99" s="3" t="s">
        <v>192</v>
      </c>
      <c r="AD99" s="3" t="s">
        <v>192</v>
      </c>
      <c r="AE99" s="3" t="s">
        <v>192</v>
      </c>
      <c r="AF99" s="3" t="s">
        <v>192</v>
      </c>
      <c r="AG99" s="3" t="s">
        <v>192</v>
      </c>
      <c r="AH99" s="3" t="s">
        <v>192</v>
      </c>
      <c r="AI99" s="3" t="s">
        <v>192</v>
      </c>
      <c r="AJ99" s="3" t="s">
        <v>192</v>
      </c>
      <c r="AK99" s="3" t="s">
        <v>192</v>
      </c>
      <c r="AL99" s="3" t="s">
        <v>192</v>
      </c>
      <c r="AM99" s="3" t="s">
        <v>192</v>
      </c>
      <c r="AN99" s="3" t="s">
        <v>192</v>
      </c>
      <c r="AO99" s="3">
        <v>1</v>
      </c>
      <c r="AP99" s="3" t="s">
        <v>192</v>
      </c>
      <c r="AQ99" s="3" t="s">
        <v>192</v>
      </c>
      <c r="AR99" s="3" t="s">
        <v>192</v>
      </c>
      <c r="AS99" s="3" t="s">
        <v>192</v>
      </c>
      <c r="AT99" s="3" t="s">
        <v>192</v>
      </c>
      <c r="AU99" s="3" t="s">
        <v>192</v>
      </c>
      <c r="AV99" s="3" t="s">
        <v>192</v>
      </c>
      <c r="AW99" s="3" t="s">
        <v>192</v>
      </c>
      <c r="AX99" s="3" t="s">
        <v>192</v>
      </c>
      <c r="AY99" s="3" t="s">
        <v>192</v>
      </c>
      <c r="AZ99" s="3" t="s">
        <v>192</v>
      </c>
      <c r="BA99" s="3" t="s">
        <v>192</v>
      </c>
      <c r="BB99" s="3" t="s">
        <v>192</v>
      </c>
      <c r="BC99" s="3" t="s">
        <v>192</v>
      </c>
      <c r="BD99" s="3" t="s">
        <v>192</v>
      </c>
      <c r="BE99" s="3" t="s">
        <v>192</v>
      </c>
      <c r="BF99" s="3" t="s">
        <v>192</v>
      </c>
      <c r="BG99" s="3" t="s">
        <v>192</v>
      </c>
      <c r="BH99" s="3" t="s">
        <v>192</v>
      </c>
      <c r="BI99" s="3" t="s">
        <v>192</v>
      </c>
      <c r="BJ99" s="3" t="s">
        <v>192</v>
      </c>
      <c r="BK99" s="3" t="s">
        <v>192</v>
      </c>
      <c r="BL99" s="3" t="s">
        <v>192</v>
      </c>
      <c r="BM99" s="3" t="s">
        <v>192</v>
      </c>
      <c r="BN99" s="3" t="s">
        <v>192</v>
      </c>
      <c r="BO99" s="3" t="s">
        <v>192</v>
      </c>
      <c r="BP99" s="3" t="s">
        <v>192</v>
      </c>
      <c r="BQ99" s="3" t="s">
        <v>192</v>
      </c>
      <c r="BR99" s="3" t="s">
        <v>192</v>
      </c>
      <c r="BS99" s="3">
        <v>1</v>
      </c>
      <c r="BT99" s="3" t="s">
        <v>192</v>
      </c>
      <c r="BU99" s="3" t="s">
        <v>192</v>
      </c>
      <c r="BV99" s="3" t="s">
        <v>192</v>
      </c>
      <c r="BW99" s="3" t="s">
        <v>192</v>
      </c>
      <c r="BX99" s="3" t="s">
        <v>192</v>
      </c>
      <c r="BY99" s="3" t="s">
        <v>192</v>
      </c>
      <c r="BZ99" s="3" t="s">
        <v>192</v>
      </c>
      <c r="CA99" s="3" t="s">
        <v>192</v>
      </c>
      <c r="CB99" s="3" t="s">
        <v>192</v>
      </c>
      <c r="CC99" s="3" t="s">
        <v>192</v>
      </c>
      <c r="CD99" s="3" t="s">
        <v>192</v>
      </c>
      <c r="CE99" s="3" t="s">
        <v>192</v>
      </c>
      <c r="CF99" s="3" t="s">
        <v>192</v>
      </c>
      <c r="CG99" s="3" t="s">
        <v>192</v>
      </c>
      <c r="CH99" s="3" t="s">
        <v>192</v>
      </c>
      <c r="CI99" s="3" t="s">
        <v>192</v>
      </c>
      <c r="CJ99" s="3" t="s">
        <v>192</v>
      </c>
      <c r="CK99" s="3" t="s">
        <v>192</v>
      </c>
      <c r="CL99" s="3" t="s">
        <v>192</v>
      </c>
      <c r="CM99" s="3" t="s">
        <v>192</v>
      </c>
      <c r="CN99" s="3" t="s">
        <v>192</v>
      </c>
      <c r="CO99" s="3" t="s">
        <v>192</v>
      </c>
      <c r="CP99" s="3">
        <v>1</v>
      </c>
      <c r="CQ99" s="3" t="s">
        <v>192</v>
      </c>
      <c r="CR99" s="3" t="s">
        <v>192</v>
      </c>
      <c r="CS99" s="3" t="s">
        <v>192</v>
      </c>
      <c r="CT99" s="1">
        <f>SUM(Table7[[#This Row],[Acyl_amino_acids]:[T3PKS]])</f>
        <v>5</v>
      </c>
      <c r="CU99" s="3" t="s">
        <v>192</v>
      </c>
      <c r="CW99" s="1" t="str">
        <f>Table7[[#This Row],[NRPS]]</f>
        <v>-</v>
      </c>
      <c r="CX99" s="1">
        <f>SUM(CP99,CR99,CS99,Table7[[#This Row],[T1PKS, T3PKS]])</f>
        <v>1</v>
      </c>
      <c r="CY99" s="1">
        <f t="shared" si="1"/>
        <v>1</v>
      </c>
      <c r="CZ99" s="1" t="str">
        <f>Table7[[#This Row],[Terpene]]</f>
        <v>-</v>
      </c>
      <c r="DA99" s="1">
        <f>SUM(Table7[[#This Row],[Thiopeptide]],BH99,BF99,BE99,BC99,AZ99,AX99,AW99,AJ99,AH99,N99,L99,J99,H99,I99,K99,R99,Q99,Table7[[#This Row],[Cyanobactin, LAP]])</f>
        <v>2</v>
      </c>
      <c r="DB99" s="1">
        <f>SUM(CO99,CN99,CL99,CK99,CJ99,CI99,CH99,CF99,CE99,CD99,CB99,CA99,BZ99,BY99,BX99,BW99,BV99,BT99,BR99,BQ99,BP99,BO99,BM99,BK99,BJ99,BI99,BG99,BD99,BB99,BA99,AY99,AV99,AU99,AT99,AS99,AR99,AQ99,AP99,AO99,AN99,AM99,AL99,AK99,AG99,AF99,AE99,AD99,AC99,AB99,AA99,Z99,Y99,X99,W99,V99,U99,T99,S99,P99,O99,M99,Table7[[#This Row],[Acyl_amino_acids]],E99,F99,G99,)</f>
        <v>1</v>
      </c>
    </row>
    <row r="100" spans="1:106" x14ac:dyDescent="0.25">
      <c r="A100" s="9" t="s">
        <v>664</v>
      </c>
      <c r="B100" s="1" t="s">
        <v>607</v>
      </c>
      <c r="C100" s="1" t="s">
        <v>604</v>
      </c>
      <c r="D100" s="3" t="s">
        <v>192</v>
      </c>
      <c r="E100" s="3" t="s">
        <v>192</v>
      </c>
      <c r="F100" s="3" t="s">
        <v>192</v>
      </c>
      <c r="G100" s="3" t="s">
        <v>192</v>
      </c>
      <c r="H100" s="3">
        <v>3</v>
      </c>
      <c r="I100" s="3" t="s">
        <v>192</v>
      </c>
      <c r="J100" s="3" t="s">
        <v>192</v>
      </c>
      <c r="K100" s="3" t="s">
        <v>192</v>
      </c>
      <c r="L100" s="3" t="s">
        <v>192</v>
      </c>
      <c r="M100" s="3" t="s">
        <v>192</v>
      </c>
      <c r="N100" s="3" t="s">
        <v>192</v>
      </c>
      <c r="O100" s="3" t="s">
        <v>192</v>
      </c>
      <c r="P100" s="3" t="s">
        <v>192</v>
      </c>
      <c r="Q100" s="3" t="s">
        <v>192</v>
      </c>
      <c r="R100" s="3" t="s">
        <v>192</v>
      </c>
      <c r="S100" s="3" t="s">
        <v>192</v>
      </c>
      <c r="T100" s="3" t="s">
        <v>192</v>
      </c>
      <c r="U100" s="3" t="s">
        <v>192</v>
      </c>
      <c r="V100" s="3" t="s">
        <v>192</v>
      </c>
      <c r="W100" s="3" t="s">
        <v>192</v>
      </c>
      <c r="X100" s="3" t="s">
        <v>192</v>
      </c>
      <c r="Y100" s="3" t="s">
        <v>192</v>
      </c>
      <c r="Z100" s="3" t="s">
        <v>192</v>
      </c>
      <c r="AA100" s="3" t="s">
        <v>192</v>
      </c>
      <c r="AB100" s="3" t="s">
        <v>192</v>
      </c>
      <c r="AC100" s="3" t="s">
        <v>192</v>
      </c>
      <c r="AD100" s="3" t="s">
        <v>192</v>
      </c>
      <c r="AE100" s="3" t="s">
        <v>192</v>
      </c>
      <c r="AF100" s="3" t="s">
        <v>192</v>
      </c>
      <c r="AG100" s="3" t="s">
        <v>192</v>
      </c>
      <c r="AH100" s="3" t="s">
        <v>192</v>
      </c>
      <c r="AI100" s="3" t="s">
        <v>192</v>
      </c>
      <c r="AJ100" s="3" t="s">
        <v>192</v>
      </c>
      <c r="AK100" s="3" t="s">
        <v>192</v>
      </c>
      <c r="AL100" s="3" t="s">
        <v>192</v>
      </c>
      <c r="AM100" s="3" t="s">
        <v>192</v>
      </c>
      <c r="AN100" s="3" t="s">
        <v>192</v>
      </c>
      <c r="AO100" s="3" t="s">
        <v>192</v>
      </c>
      <c r="AP100" s="3" t="s">
        <v>192</v>
      </c>
      <c r="AQ100" s="3">
        <v>1</v>
      </c>
      <c r="AR100" s="3" t="s">
        <v>192</v>
      </c>
      <c r="AS100" s="3" t="s">
        <v>192</v>
      </c>
      <c r="AT100" s="3" t="s">
        <v>192</v>
      </c>
      <c r="AU100" s="3" t="s">
        <v>192</v>
      </c>
      <c r="AV100" s="3" t="s">
        <v>192</v>
      </c>
      <c r="AW100" s="3" t="s">
        <v>192</v>
      </c>
      <c r="AX100" s="3" t="s">
        <v>192</v>
      </c>
      <c r="AY100" s="3" t="s">
        <v>192</v>
      </c>
      <c r="AZ100" s="3" t="s">
        <v>192</v>
      </c>
      <c r="BA100" s="3" t="s">
        <v>192</v>
      </c>
      <c r="BB100" s="3" t="s">
        <v>192</v>
      </c>
      <c r="BC100" s="3" t="s">
        <v>192</v>
      </c>
      <c r="BD100" s="3" t="s">
        <v>192</v>
      </c>
      <c r="BE100" s="3" t="s">
        <v>192</v>
      </c>
      <c r="BF100" s="3" t="s">
        <v>192</v>
      </c>
      <c r="BG100" s="3" t="s">
        <v>192</v>
      </c>
      <c r="BH100" s="3" t="s">
        <v>192</v>
      </c>
      <c r="BI100" s="3" t="s">
        <v>192</v>
      </c>
      <c r="BJ100" s="3" t="s">
        <v>192</v>
      </c>
      <c r="BK100" s="3" t="s">
        <v>192</v>
      </c>
      <c r="BL100" s="3">
        <v>1</v>
      </c>
      <c r="BM100" s="3" t="s">
        <v>192</v>
      </c>
      <c r="BN100" s="3" t="s">
        <v>192</v>
      </c>
      <c r="BO100" s="3" t="s">
        <v>192</v>
      </c>
      <c r="BP100" s="3" t="s">
        <v>192</v>
      </c>
      <c r="BQ100" s="3" t="s">
        <v>192</v>
      </c>
      <c r="BR100" s="3" t="s">
        <v>192</v>
      </c>
      <c r="BS100" s="3" t="s">
        <v>192</v>
      </c>
      <c r="BT100" s="3" t="s">
        <v>192</v>
      </c>
      <c r="BU100" s="3" t="s">
        <v>192</v>
      </c>
      <c r="BV100" s="3" t="s">
        <v>192</v>
      </c>
      <c r="BW100" s="3" t="s">
        <v>192</v>
      </c>
      <c r="BX100" s="3" t="s">
        <v>192</v>
      </c>
      <c r="BY100" s="3" t="s">
        <v>192</v>
      </c>
      <c r="BZ100" s="3" t="s">
        <v>192</v>
      </c>
      <c r="CA100" s="3" t="s">
        <v>192</v>
      </c>
      <c r="CB100" s="3" t="s">
        <v>192</v>
      </c>
      <c r="CC100" s="3" t="s">
        <v>192</v>
      </c>
      <c r="CD100" s="3" t="s">
        <v>192</v>
      </c>
      <c r="CE100" s="3" t="s">
        <v>192</v>
      </c>
      <c r="CF100" s="3" t="s">
        <v>192</v>
      </c>
      <c r="CG100" s="3">
        <v>3</v>
      </c>
      <c r="CH100" s="3" t="s">
        <v>192</v>
      </c>
      <c r="CI100" s="3" t="s">
        <v>192</v>
      </c>
      <c r="CJ100" s="3" t="s">
        <v>192</v>
      </c>
      <c r="CK100" s="3" t="s">
        <v>192</v>
      </c>
      <c r="CL100" s="3" t="s">
        <v>192</v>
      </c>
      <c r="CM100" s="3" t="s">
        <v>192</v>
      </c>
      <c r="CN100" s="3" t="s">
        <v>192</v>
      </c>
      <c r="CO100" s="3" t="s">
        <v>192</v>
      </c>
      <c r="CP100" s="3" t="s">
        <v>192</v>
      </c>
      <c r="CQ100" s="3" t="s">
        <v>192</v>
      </c>
      <c r="CR100" s="3" t="s">
        <v>192</v>
      </c>
      <c r="CS100" s="3" t="s">
        <v>192</v>
      </c>
      <c r="CT100" s="1">
        <f>SUM(Table7[[#This Row],[Acyl_amino_acids]:[T3PKS]])</f>
        <v>8</v>
      </c>
      <c r="CU100" s="3" t="s">
        <v>196</v>
      </c>
      <c r="CW100" s="1">
        <f>Table7[[#This Row],[NRPS]]</f>
        <v>1</v>
      </c>
      <c r="CX100" s="1">
        <f>SUM(CP100,CR100,CS100,Table7[[#This Row],[T1PKS, T3PKS]])</f>
        <v>0</v>
      </c>
      <c r="CY100" s="1">
        <f t="shared" si="1"/>
        <v>0</v>
      </c>
      <c r="CZ100" s="1">
        <f>Table7[[#This Row],[Terpene]]</f>
        <v>3</v>
      </c>
      <c r="DA100" s="1">
        <f>SUM(Table7[[#This Row],[Thiopeptide]],BH100,BF100,BE100,BC100,AZ100,AX100,AW100,AJ100,AH100,N100,L100,J100,H100,I100,K100,R100,Q100,Table7[[#This Row],[Cyanobactin, LAP]])</f>
        <v>3</v>
      </c>
      <c r="DB100" s="1">
        <f>SUM(CO100,CN100,CL100,CK100,CJ100,CI100,CH100,CF100,CE100,CD100,CB100,CA100,BZ100,BY100,BX100,BW100,BV100,BT100,BR100,BQ100,BP100,BO100,BM100,BK100,BJ100,BI100,BG100,BD100,BB100,BA100,AY100,AV100,AU100,AT100,AS100,AR100,AQ100,AP100,AO100,AN100,AM100,AL100,AK100,AG100,AF100,AE100,AD100,AC100,AB100,AA100,Z100,Y100,X100,W100,V100,U100,T100,S100,P100,O100,M100,Table7[[#This Row],[Acyl_amino_acids]],E100,F100,G100,)</f>
        <v>1</v>
      </c>
    </row>
    <row r="101" spans="1:106" x14ac:dyDescent="0.25">
      <c r="A101" s="9" t="s">
        <v>67</v>
      </c>
      <c r="B101" s="1" t="s">
        <v>435</v>
      </c>
      <c r="C101" s="1" t="s">
        <v>335</v>
      </c>
      <c r="D101" s="3" t="s">
        <v>192</v>
      </c>
      <c r="E101" s="3" t="s">
        <v>192</v>
      </c>
      <c r="F101" s="3" t="s">
        <v>192</v>
      </c>
      <c r="G101" s="3" t="s">
        <v>192</v>
      </c>
      <c r="H101" s="3">
        <v>2</v>
      </c>
      <c r="I101" s="3" t="s">
        <v>192</v>
      </c>
      <c r="J101" s="3" t="s">
        <v>192</v>
      </c>
      <c r="K101" s="3" t="s">
        <v>192</v>
      </c>
      <c r="L101" s="3" t="s">
        <v>192</v>
      </c>
      <c r="M101" s="3" t="s">
        <v>192</v>
      </c>
      <c r="N101" s="3" t="s">
        <v>192</v>
      </c>
      <c r="O101" s="3" t="s">
        <v>192</v>
      </c>
      <c r="P101" s="3">
        <v>1</v>
      </c>
      <c r="Q101" s="3" t="s">
        <v>192</v>
      </c>
      <c r="R101" s="3" t="s">
        <v>192</v>
      </c>
      <c r="S101" s="3" t="s">
        <v>192</v>
      </c>
      <c r="T101" s="3" t="s">
        <v>192</v>
      </c>
      <c r="U101" s="3" t="s">
        <v>192</v>
      </c>
      <c r="V101" s="3" t="s">
        <v>192</v>
      </c>
      <c r="W101" s="3" t="s">
        <v>192</v>
      </c>
      <c r="X101" s="3" t="s">
        <v>192</v>
      </c>
      <c r="Y101" s="3" t="s">
        <v>192</v>
      </c>
      <c r="Z101" s="3" t="s">
        <v>192</v>
      </c>
      <c r="AA101" s="3" t="s">
        <v>192</v>
      </c>
      <c r="AB101" s="3" t="s">
        <v>192</v>
      </c>
      <c r="AC101" s="3" t="s">
        <v>192</v>
      </c>
      <c r="AD101" s="3" t="s">
        <v>192</v>
      </c>
      <c r="AE101" s="3" t="s">
        <v>192</v>
      </c>
      <c r="AF101" s="3" t="s">
        <v>192</v>
      </c>
      <c r="AG101" s="3" t="s">
        <v>192</v>
      </c>
      <c r="AH101" s="3" t="s">
        <v>192</v>
      </c>
      <c r="AI101" s="3" t="s">
        <v>192</v>
      </c>
      <c r="AJ101" s="3" t="s">
        <v>192</v>
      </c>
      <c r="AK101" s="3" t="s">
        <v>192</v>
      </c>
      <c r="AL101" s="3" t="s">
        <v>192</v>
      </c>
      <c r="AM101" s="3" t="s">
        <v>192</v>
      </c>
      <c r="AN101" s="3" t="s">
        <v>192</v>
      </c>
      <c r="AO101" s="3" t="s">
        <v>192</v>
      </c>
      <c r="AP101" s="3" t="s">
        <v>192</v>
      </c>
      <c r="AQ101" s="3">
        <v>1</v>
      </c>
      <c r="AR101" s="3" t="s">
        <v>192</v>
      </c>
      <c r="AS101" s="3" t="s">
        <v>192</v>
      </c>
      <c r="AT101" s="3" t="s">
        <v>192</v>
      </c>
      <c r="AU101" s="3" t="s">
        <v>192</v>
      </c>
      <c r="AV101" s="3" t="s">
        <v>192</v>
      </c>
      <c r="AW101" s="3" t="s">
        <v>192</v>
      </c>
      <c r="AX101" s="3" t="s">
        <v>192</v>
      </c>
      <c r="AY101" s="3" t="s">
        <v>192</v>
      </c>
      <c r="AZ101" s="3" t="s">
        <v>192</v>
      </c>
      <c r="BA101" s="3">
        <v>1</v>
      </c>
      <c r="BB101" s="3" t="s">
        <v>192</v>
      </c>
      <c r="BC101" s="3" t="s">
        <v>192</v>
      </c>
      <c r="BD101" s="3" t="s">
        <v>192</v>
      </c>
      <c r="BE101" s="3" t="s">
        <v>192</v>
      </c>
      <c r="BF101" s="3">
        <v>2</v>
      </c>
      <c r="BG101" s="3" t="s">
        <v>192</v>
      </c>
      <c r="BH101" s="3" t="s">
        <v>192</v>
      </c>
      <c r="BI101" s="3" t="s">
        <v>192</v>
      </c>
      <c r="BJ101" s="3" t="s">
        <v>192</v>
      </c>
      <c r="BK101" s="3" t="s">
        <v>192</v>
      </c>
      <c r="BL101" s="3">
        <v>3</v>
      </c>
      <c r="BM101" s="3" t="s">
        <v>192</v>
      </c>
      <c r="BN101" s="3" t="s">
        <v>192</v>
      </c>
      <c r="BO101" s="3" t="s">
        <v>192</v>
      </c>
      <c r="BP101" s="3" t="s">
        <v>192</v>
      </c>
      <c r="BQ101" s="3" t="s">
        <v>192</v>
      </c>
      <c r="BR101" s="3" t="s">
        <v>192</v>
      </c>
      <c r="BS101" s="3">
        <v>2</v>
      </c>
      <c r="BT101" s="3" t="s">
        <v>192</v>
      </c>
      <c r="BU101" s="3" t="s">
        <v>192</v>
      </c>
      <c r="BV101" s="3" t="s">
        <v>192</v>
      </c>
      <c r="BW101" s="3" t="s">
        <v>192</v>
      </c>
      <c r="BX101" s="3" t="s">
        <v>192</v>
      </c>
      <c r="BY101" s="3" t="s">
        <v>192</v>
      </c>
      <c r="BZ101" s="3">
        <v>1</v>
      </c>
      <c r="CA101" s="3" t="s">
        <v>192</v>
      </c>
      <c r="CB101" s="3">
        <v>1</v>
      </c>
      <c r="CC101" s="3" t="s">
        <v>192</v>
      </c>
      <c r="CD101" s="3" t="s">
        <v>192</v>
      </c>
      <c r="CE101" s="3" t="s">
        <v>192</v>
      </c>
      <c r="CF101" s="3" t="s">
        <v>192</v>
      </c>
      <c r="CG101" s="3">
        <v>2</v>
      </c>
      <c r="CH101" s="3" t="s">
        <v>192</v>
      </c>
      <c r="CI101" s="3" t="s">
        <v>192</v>
      </c>
      <c r="CJ101" s="3" t="s">
        <v>192</v>
      </c>
      <c r="CK101" s="3" t="s">
        <v>192</v>
      </c>
      <c r="CL101" s="3" t="s">
        <v>192</v>
      </c>
      <c r="CM101" s="3" t="s">
        <v>192</v>
      </c>
      <c r="CN101" s="3" t="s">
        <v>192</v>
      </c>
      <c r="CO101" s="3" t="s">
        <v>192</v>
      </c>
      <c r="CP101" s="3">
        <v>2</v>
      </c>
      <c r="CQ101" s="3" t="s">
        <v>192</v>
      </c>
      <c r="CR101" s="3" t="s">
        <v>192</v>
      </c>
      <c r="CS101" s="3" t="s">
        <v>192</v>
      </c>
      <c r="CT101" s="1">
        <f>SUM(Table7[[#This Row],[Acyl_amino_acids]:[T3PKS]])</f>
        <v>18</v>
      </c>
      <c r="CU101" s="3" t="s">
        <v>196</v>
      </c>
      <c r="CW101" s="1">
        <f>Table7[[#This Row],[NRPS]]</f>
        <v>3</v>
      </c>
      <c r="CX101" s="1">
        <f>SUM(CP101,CR101,CS101,Table7[[#This Row],[T1PKS, T3PKS]])</f>
        <v>2</v>
      </c>
      <c r="CY101" s="1">
        <f t="shared" si="1"/>
        <v>2</v>
      </c>
      <c r="CZ101" s="1">
        <f>Table7[[#This Row],[Terpene]]</f>
        <v>2</v>
      </c>
      <c r="DA101" s="1">
        <f>SUM(Table7[[#This Row],[Thiopeptide]],BH101,BF101,BE101,BC101,AZ101,AX101,AW101,AJ101,AH101,N101,L101,J101,H101,I101,K101,R101,Q101,Table7[[#This Row],[Cyanobactin, LAP]])</f>
        <v>4</v>
      </c>
      <c r="DB101" s="1">
        <f>SUM(CO101,CN101,CL101,CK101,CJ101,CI101,CH101,CF101,CE101,CD101,CB101,CA101,BZ101,BY101,BX101,BW101,BV101,BT101,BR101,BQ101,BP101,BO101,BM101,BK101,BJ101,BI101,BG101,BD101,BB101,BA101,AY101,AV101,AU101,AT101,AS101,AR101,AQ101,AP101,AO101,AN101,AM101,AL101,AK101,AG101,AF101,AE101,AD101,AC101,AB101,AA101,Z101,Y101,X101,W101,V101,U101,T101,S101,P101,O101,M101,Table7[[#This Row],[Acyl_amino_acids]],E101,F101,G101,)</f>
        <v>5</v>
      </c>
    </row>
    <row r="102" spans="1:106" x14ac:dyDescent="0.25">
      <c r="A102" s="9" t="s">
        <v>714</v>
      </c>
      <c r="B102" s="1" t="s">
        <v>435</v>
      </c>
      <c r="C102" s="1" t="s">
        <v>336</v>
      </c>
      <c r="D102" s="1" t="s">
        <v>192</v>
      </c>
      <c r="E102" s="1" t="s">
        <v>192</v>
      </c>
      <c r="F102" s="3" t="s">
        <v>192</v>
      </c>
      <c r="G102" s="3" t="s">
        <v>192</v>
      </c>
      <c r="H102" s="3">
        <v>2</v>
      </c>
      <c r="I102" s="3" t="s">
        <v>192</v>
      </c>
      <c r="J102" s="3" t="s">
        <v>192</v>
      </c>
      <c r="K102" s="3" t="s">
        <v>192</v>
      </c>
      <c r="L102" s="3" t="s">
        <v>192</v>
      </c>
      <c r="M102" s="3" t="s">
        <v>192</v>
      </c>
      <c r="N102" s="3" t="s">
        <v>192</v>
      </c>
      <c r="O102" s="3" t="s">
        <v>192</v>
      </c>
      <c r="P102" s="3" t="s">
        <v>192</v>
      </c>
      <c r="Q102" s="3" t="s">
        <v>192</v>
      </c>
      <c r="R102" s="3" t="s">
        <v>192</v>
      </c>
      <c r="S102" s="3" t="s">
        <v>192</v>
      </c>
      <c r="T102" s="3" t="s">
        <v>192</v>
      </c>
      <c r="U102" s="3" t="s">
        <v>192</v>
      </c>
      <c r="V102" s="3" t="s">
        <v>192</v>
      </c>
      <c r="W102" s="3" t="s">
        <v>192</v>
      </c>
      <c r="X102" s="3" t="s">
        <v>192</v>
      </c>
      <c r="Y102" s="3" t="s">
        <v>192</v>
      </c>
      <c r="Z102" s="3" t="s">
        <v>192</v>
      </c>
      <c r="AA102" s="3" t="s">
        <v>192</v>
      </c>
      <c r="AB102" s="3" t="s">
        <v>192</v>
      </c>
      <c r="AC102" s="3" t="s">
        <v>192</v>
      </c>
      <c r="AD102" s="3" t="s">
        <v>192</v>
      </c>
      <c r="AE102" s="3" t="s">
        <v>192</v>
      </c>
      <c r="AF102" s="3" t="s">
        <v>192</v>
      </c>
      <c r="AG102" s="3" t="s">
        <v>192</v>
      </c>
      <c r="AH102" s="3" t="s">
        <v>192</v>
      </c>
      <c r="AI102" s="3" t="s">
        <v>192</v>
      </c>
      <c r="AJ102" s="3" t="s">
        <v>192</v>
      </c>
      <c r="AK102" s="3" t="s">
        <v>192</v>
      </c>
      <c r="AL102" s="3" t="s">
        <v>192</v>
      </c>
      <c r="AM102" s="3" t="s">
        <v>192</v>
      </c>
      <c r="AN102" s="3" t="s">
        <v>192</v>
      </c>
      <c r="AO102" s="3" t="s">
        <v>192</v>
      </c>
      <c r="AP102" s="3" t="s">
        <v>192</v>
      </c>
      <c r="AQ102" s="3" t="s">
        <v>192</v>
      </c>
      <c r="AR102" s="3" t="s">
        <v>192</v>
      </c>
      <c r="AS102" s="3" t="s">
        <v>192</v>
      </c>
      <c r="AT102" s="3" t="s">
        <v>192</v>
      </c>
      <c r="AU102" s="3" t="s">
        <v>192</v>
      </c>
      <c r="AV102" s="3" t="s">
        <v>192</v>
      </c>
      <c r="AW102" s="3" t="s">
        <v>192</v>
      </c>
      <c r="AX102" s="3" t="s">
        <v>192</v>
      </c>
      <c r="AY102" s="3" t="s">
        <v>192</v>
      </c>
      <c r="AZ102" s="3">
        <v>1</v>
      </c>
      <c r="BA102" s="3" t="s">
        <v>192</v>
      </c>
      <c r="BB102" s="3" t="s">
        <v>192</v>
      </c>
      <c r="BC102" s="3" t="s">
        <v>192</v>
      </c>
      <c r="BD102" s="3" t="s">
        <v>192</v>
      </c>
      <c r="BE102" s="3" t="s">
        <v>192</v>
      </c>
      <c r="BF102" s="3" t="s">
        <v>192</v>
      </c>
      <c r="BG102" s="3" t="s">
        <v>192</v>
      </c>
      <c r="BH102" s="3" t="s">
        <v>192</v>
      </c>
      <c r="BI102" s="3" t="s">
        <v>192</v>
      </c>
      <c r="BJ102" s="3" t="s">
        <v>192</v>
      </c>
      <c r="BK102" s="3" t="s">
        <v>192</v>
      </c>
      <c r="BL102" s="3">
        <v>2</v>
      </c>
      <c r="BM102" s="3" t="s">
        <v>192</v>
      </c>
      <c r="BN102" s="3" t="s">
        <v>192</v>
      </c>
      <c r="BO102" s="3" t="s">
        <v>192</v>
      </c>
      <c r="BP102" s="3" t="s">
        <v>192</v>
      </c>
      <c r="BQ102" s="3" t="s">
        <v>192</v>
      </c>
      <c r="BR102" s="3" t="s">
        <v>192</v>
      </c>
      <c r="BS102" s="3">
        <v>2</v>
      </c>
      <c r="BT102" s="3" t="s">
        <v>192</v>
      </c>
      <c r="BU102" s="3" t="s">
        <v>192</v>
      </c>
      <c r="BV102" s="3">
        <v>1</v>
      </c>
      <c r="BW102" s="3" t="s">
        <v>192</v>
      </c>
      <c r="BX102" s="3" t="s">
        <v>192</v>
      </c>
      <c r="BY102" s="3" t="s">
        <v>192</v>
      </c>
      <c r="BZ102" s="3" t="s">
        <v>192</v>
      </c>
      <c r="CA102" s="3" t="s">
        <v>192</v>
      </c>
      <c r="CB102" s="3" t="s">
        <v>192</v>
      </c>
      <c r="CC102" s="3" t="s">
        <v>192</v>
      </c>
      <c r="CD102" s="3" t="s">
        <v>192</v>
      </c>
      <c r="CE102" s="3" t="s">
        <v>192</v>
      </c>
      <c r="CF102" s="3" t="s">
        <v>192</v>
      </c>
      <c r="CG102" s="3">
        <v>1</v>
      </c>
      <c r="CH102" s="3" t="s">
        <v>192</v>
      </c>
      <c r="CI102" s="3" t="s">
        <v>192</v>
      </c>
      <c r="CJ102" s="3" t="s">
        <v>192</v>
      </c>
      <c r="CK102" s="3" t="s">
        <v>192</v>
      </c>
      <c r="CL102" s="3" t="s">
        <v>192</v>
      </c>
      <c r="CM102" s="3" t="s">
        <v>192</v>
      </c>
      <c r="CN102" s="3" t="s">
        <v>192</v>
      </c>
      <c r="CO102" s="3" t="s">
        <v>192</v>
      </c>
      <c r="CP102" s="3" t="s">
        <v>192</v>
      </c>
      <c r="CQ102" s="3" t="s">
        <v>192</v>
      </c>
      <c r="CR102" s="3" t="s">
        <v>192</v>
      </c>
      <c r="CS102" s="3" t="s">
        <v>192</v>
      </c>
      <c r="CT102" s="1">
        <f>SUM(Table7[[#This Row],[Acyl_amino_acids]:[T3PKS]])</f>
        <v>9</v>
      </c>
      <c r="CU102" s="3" t="s">
        <v>192</v>
      </c>
      <c r="CW102" s="1">
        <f>Table7[[#This Row],[NRPS]]</f>
        <v>2</v>
      </c>
      <c r="CX102" s="1">
        <f>SUM(CP102,CR102,CS102,Table7[[#This Row],[T1PKS, T3PKS]])</f>
        <v>0</v>
      </c>
      <c r="CY102" s="1">
        <f t="shared" si="1"/>
        <v>2</v>
      </c>
      <c r="CZ102" s="1">
        <f>Table7[[#This Row],[Terpene]]</f>
        <v>1</v>
      </c>
      <c r="DA102" s="1">
        <f>SUM(Table7[[#This Row],[Thiopeptide]],BH102,BF102,BE102,BC102,AZ102,AX102,AW102,AJ102,AH102,N102,L102,J102,H102,I102,K102,R102,Q102,Table7[[#This Row],[Cyanobactin, LAP]])</f>
        <v>3</v>
      </c>
      <c r="DB102" s="1">
        <f>SUM(CO102,CN102,CL102,CK102,CJ102,CI102,CH102,CF102,CE102,CD102,CB102,CA102,BZ102,BY102,BX102,BW102,BV102,BT102,BR102,BQ102,BP102,BO102,BM102,BK102,BJ102,BI102,BG102,BD102,BB102,BA102,AY102,AV102,AU102,AT102,AS102,AR102,AQ102,AP102,AO102,AN102,AM102,AL102,AK102,AG102,AF102,AE102,AD102,AC102,AB102,AA102,Z102,Y102,X102,W102,V102,U102,T102,S102,P102,O102,M102,Table7[[#This Row],[Acyl_amino_acids]],E102,F102,G102,)</f>
        <v>1</v>
      </c>
    </row>
    <row r="103" spans="1:106" x14ac:dyDescent="0.25">
      <c r="A103" s="9" t="s">
        <v>721</v>
      </c>
      <c r="B103" s="1" t="s">
        <v>435</v>
      </c>
      <c r="C103" s="1" t="s">
        <v>337</v>
      </c>
      <c r="D103" s="1" t="s">
        <v>192</v>
      </c>
      <c r="E103" s="3" t="s">
        <v>192</v>
      </c>
      <c r="F103" s="3" t="s">
        <v>192</v>
      </c>
      <c r="G103" s="3" t="s">
        <v>192</v>
      </c>
      <c r="H103" s="3">
        <v>1</v>
      </c>
      <c r="I103" s="3" t="s">
        <v>192</v>
      </c>
      <c r="J103" s="3">
        <v>1</v>
      </c>
      <c r="K103" s="3" t="s">
        <v>192</v>
      </c>
      <c r="L103" s="3" t="s">
        <v>192</v>
      </c>
      <c r="M103" s="3" t="s">
        <v>192</v>
      </c>
      <c r="N103" s="3" t="s">
        <v>192</v>
      </c>
      <c r="O103" s="3" t="s">
        <v>192</v>
      </c>
      <c r="P103" s="3" t="s">
        <v>192</v>
      </c>
      <c r="Q103" s="3" t="s">
        <v>192</v>
      </c>
      <c r="R103" s="3" t="s">
        <v>192</v>
      </c>
      <c r="S103" s="3" t="s">
        <v>192</v>
      </c>
      <c r="T103" s="3" t="s">
        <v>192</v>
      </c>
      <c r="U103" s="3" t="s">
        <v>192</v>
      </c>
      <c r="V103" s="3" t="s">
        <v>192</v>
      </c>
      <c r="W103" s="3" t="s">
        <v>192</v>
      </c>
      <c r="X103" s="3" t="s">
        <v>192</v>
      </c>
      <c r="Y103" s="3" t="s">
        <v>192</v>
      </c>
      <c r="Z103" s="3" t="s">
        <v>192</v>
      </c>
      <c r="AA103" s="3" t="s">
        <v>192</v>
      </c>
      <c r="AB103" s="3" t="s">
        <v>192</v>
      </c>
      <c r="AC103" s="3" t="s">
        <v>192</v>
      </c>
      <c r="AD103" s="3" t="s">
        <v>192</v>
      </c>
      <c r="AE103" s="3" t="s">
        <v>192</v>
      </c>
      <c r="AF103" s="3" t="s">
        <v>192</v>
      </c>
      <c r="AG103" s="3" t="s">
        <v>192</v>
      </c>
      <c r="AH103" s="3" t="s">
        <v>192</v>
      </c>
      <c r="AI103" s="3" t="s">
        <v>192</v>
      </c>
      <c r="AJ103" s="3" t="s">
        <v>192</v>
      </c>
      <c r="AK103" s="3" t="s">
        <v>192</v>
      </c>
      <c r="AL103" s="3" t="s">
        <v>192</v>
      </c>
      <c r="AM103" s="3" t="s">
        <v>192</v>
      </c>
      <c r="AN103" s="3" t="s">
        <v>192</v>
      </c>
      <c r="AO103" s="3" t="s">
        <v>192</v>
      </c>
      <c r="AP103" s="3" t="s">
        <v>192</v>
      </c>
      <c r="AQ103" s="3" t="s">
        <v>192</v>
      </c>
      <c r="AR103" s="3" t="s">
        <v>192</v>
      </c>
      <c r="AS103" s="3" t="s">
        <v>192</v>
      </c>
      <c r="AT103" s="3" t="s">
        <v>192</v>
      </c>
      <c r="AU103" s="3" t="s">
        <v>192</v>
      </c>
      <c r="AV103" s="3" t="s">
        <v>192</v>
      </c>
      <c r="AW103" s="3" t="s">
        <v>192</v>
      </c>
      <c r="AX103" s="3" t="s">
        <v>192</v>
      </c>
      <c r="AY103" s="3" t="s">
        <v>192</v>
      </c>
      <c r="AZ103" s="3" t="s">
        <v>192</v>
      </c>
      <c r="BA103" s="3" t="s">
        <v>192</v>
      </c>
      <c r="BB103" s="3" t="s">
        <v>192</v>
      </c>
      <c r="BC103" s="3" t="s">
        <v>192</v>
      </c>
      <c r="BD103" s="3" t="s">
        <v>192</v>
      </c>
      <c r="BE103" s="3" t="s">
        <v>192</v>
      </c>
      <c r="BF103" s="3" t="s">
        <v>192</v>
      </c>
      <c r="BG103" s="3" t="s">
        <v>192</v>
      </c>
      <c r="BH103" s="3" t="s">
        <v>192</v>
      </c>
      <c r="BI103" s="3" t="s">
        <v>192</v>
      </c>
      <c r="BJ103" s="3" t="s">
        <v>192</v>
      </c>
      <c r="BK103" s="3" t="s">
        <v>192</v>
      </c>
      <c r="BL103" s="3">
        <v>3</v>
      </c>
      <c r="BM103" s="3" t="s">
        <v>192</v>
      </c>
      <c r="BN103" s="3" t="s">
        <v>192</v>
      </c>
      <c r="BO103" s="3" t="s">
        <v>192</v>
      </c>
      <c r="BP103" s="3" t="s">
        <v>192</v>
      </c>
      <c r="BQ103" s="3" t="s">
        <v>192</v>
      </c>
      <c r="BR103" s="3" t="s">
        <v>192</v>
      </c>
      <c r="BS103" s="3">
        <v>1</v>
      </c>
      <c r="BT103" s="3" t="s">
        <v>192</v>
      </c>
      <c r="BU103" s="3" t="s">
        <v>192</v>
      </c>
      <c r="BV103" s="3" t="s">
        <v>192</v>
      </c>
      <c r="BW103" s="3" t="s">
        <v>192</v>
      </c>
      <c r="BX103" s="3" t="s">
        <v>192</v>
      </c>
      <c r="BY103" s="3" t="s">
        <v>192</v>
      </c>
      <c r="BZ103" s="3" t="s">
        <v>192</v>
      </c>
      <c r="CA103" s="3" t="s">
        <v>192</v>
      </c>
      <c r="CB103" s="3" t="s">
        <v>192</v>
      </c>
      <c r="CC103" s="3" t="s">
        <v>192</v>
      </c>
      <c r="CD103" s="3" t="s">
        <v>192</v>
      </c>
      <c r="CE103" s="3" t="s">
        <v>192</v>
      </c>
      <c r="CF103" s="3" t="s">
        <v>192</v>
      </c>
      <c r="CG103" s="3">
        <v>1</v>
      </c>
      <c r="CH103" s="3" t="s">
        <v>192</v>
      </c>
      <c r="CI103" s="3" t="s">
        <v>192</v>
      </c>
      <c r="CJ103" s="3" t="s">
        <v>192</v>
      </c>
      <c r="CK103" s="3" t="s">
        <v>192</v>
      </c>
      <c r="CL103" s="3" t="s">
        <v>192</v>
      </c>
      <c r="CM103" s="3" t="s">
        <v>192</v>
      </c>
      <c r="CN103" s="3" t="s">
        <v>192</v>
      </c>
      <c r="CO103" s="3" t="s">
        <v>192</v>
      </c>
      <c r="CP103" s="3" t="s">
        <v>192</v>
      </c>
      <c r="CQ103" s="3" t="s">
        <v>192</v>
      </c>
      <c r="CR103" s="3" t="s">
        <v>192</v>
      </c>
      <c r="CS103" s="3" t="s">
        <v>192</v>
      </c>
      <c r="CT103" s="1">
        <f>SUM(Table7[[#This Row],[Acyl_amino_acids]:[T3PKS]])</f>
        <v>7</v>
      </c>
      <c r="CU103" s="3" t="s">
        <v>511</v>
      </c>
      <c r="CW103" s="1">
        <f>Table7[[#This Row],[NRPS]]</f>
        <v>3</v>
      </c>
      <c r="CX103" s="1">
        <f>SUM(CP103,CR103,CS103,Table7[[#This Row],[T1PKS, T3PKS]])</f>
        <v>0</v>
      </c>
      <c r="CY103" s="1">
        <f t="shared" si="1"/>
        <v>1</v>
      </c>
      <c r="CZ103" s="1">
        <f>Table7[[#This Row],[Terpene]]</f>
        <v>1</v>
      </c>
      <c r="DA103" s="1">
        <f>SUM(Table7[[#This Row],[Thiopeptide]],BH103,BF103,BE103,BC103,AZ103,AX103,AW103,AJ103,AH103,N103,L103,J103,H103,I103,K103,R103,Q103,Table7[[#This Row],[Cyanobactin, LAP]])</f>
        <v>2</v>
      </c>
      <c r="DB103" s="1">
        <f>SUM(CO103,CN103,CL103,CK103,CJ103,CI103,CH103,CF103,CE103,CD103,CB103,CA103,BZ103,BY103,BX103,BW103,BV103,BT103,BR103,BQ103,BP103,BO103,BM103,BK103,BJ103,BI103,BG103,BD103,BB103,BA103,AY103,AV103,AU103,AT103,AS103,AR103,AQ103,AP103,AO103,AN103,AM103,AL103,AK103,AG103,AF103,AE103,AD103,AC103,AB103,AA103,Z103,Y103,X103,W103,V103,U103,T103,S103,P103,O103,M103,Table7[[#This Row],[Acyl_amino_acids]],E103,F103,G103,)</f>
        <v>0</v>
      </c>
    </row>
    <row r="104" spans="1:106" x14ac:dyDescent="0.25">
      <c r="A104" s="9" t="s">
        <v>19</v>
      </c>
      <c r="B104" s="1" t="s">
        <v>435</v>
      </c>
      <c r="C104" s="1" t="s">
        <v>338</v>
      </c>
      <c r="D104" s="1" t="s">
        <v>192</v>
      </c>
      <c r="E104" s="1" t="s">
        <v>192</v>
      </c>
      <c r="F104" s="1" t="s">
        <v>192</v>
      </c>
      <c r="G104" s="1" t="s">
        <v>192</v>
      </c>
      <c r="H104" s="1">
        <v>1</v>
      </c>
      <c r="I104" s="1" t="s">
        <v>192</v>
      </c>
      <c r="J104" s="1" t="s">
        <v>192</v>
      </c>
      <c r="K104" s="1" t="s">
        <v>192</v>
      </c>
      <c r="L104" s="1" t="s">
        <v>192</v>
      </c>
      <c r="M104" s="1" t="s">
        <v>192</v>
      </c>
      <c r="N104" s="1" t="s">
        <v>192</v>
      </c>
      <c r="O104" s="1" t="s">
        <v>192</v>
      </c>
      <c r="P104" s="1" t="s">
        <v>192</v>
      </c>
      <c r="Q104" s="1" t="s">
        <v>192</v>
      </c>
      <c r="R104" s="1" t="s">
        <v>192</v>
      </c>
      <c r="S104" s="1" t="s">
        <v>192</v>
      </c>
      <c r="T104" s="1" t="s">
        <v>192</v>
      </c>
      <c r="U104" s="1" t="s">
        <v>192</v>
      </c>
      <c r="V104" s="1" t="s">
        <v>192</v>
      </c>
      <c r="W104" s="1" t="s">
        <v>192</v>
      </c>
      <c r="X104" s="1" t="s">
        <v>192</v>
      </c>
      <c r="Y104" s="1" t="s">
        <v>192</v>
      </c>
      <c r="Z104" s="1" t="s">
        <v>192</v>
      </c>
      <c r="AA104" s="1" t="s">
        <v>192</v>
      </c>
      <c r="AB104" s="1" t="s">
        <v>192</v>
      </c>
      <c r="AC104" s="1" t="s">
        <v>192</v>
      </c>
      <c r="AD104" s="1" t="s">
        <v>192</v>
      </c>
      <c r="AE104" s="1" t="s">
        <v>192</v>
      </c>
      <c r="AF104" s="1" t="s">
        <v>192</v>
      </c>
      <c r="AG104" s="1" t="s">
        <v>192</v>
      </c>
      <c r="AH104" s="1" t="s">
        <v>192</v>
      </c>
      <c r="AI104" s="1" t="s">
        <v>192</v>
      </c>
      <c r="AJ104" s="1" t="s">
        <v>192</v>
      </c>
      <c r="AK104" s="1" t="s">
        <v>192</v>
      </c>
      <c r="AL104" s="1" t="s">
        <v>192</v>
      </c>
      <c r="AM104" s="1" t="s">
        <v>192</v>
      </c>
      <c r="AN104" s="1" t="s">
        <v>192</v>
      </c>
      <c r="AO104" s="1" t="s">
        <v>192</v>
      </c>
      <c r="AP104" s="1" t="s">
        <v>192</v>
      </c>
      <c r="AQ104" s="1" t="s">
        <v>192</v>
      </c>
      <c r="AR104" s="1" t="s">
        <v>192</v>
      </c>
      <c r="AS104" s="1" t="s">
        <v>192</v>
      </c>
      <c r="AT104" s="1" t="s">
        <v>192</v>
      </c>
      <c r="AU104" s="1" t="s">
        <v>192</v>
      </c>
      <c r="AV104" s="1" t="s">
        <v>192</v>
      </c>
      <c r="AW104" s="1" t="s">
        <v>192</v>
      </c>
      <c r="AX104" s="1" t="s">
        <v>192</v>
      </c>
      <c r="AY104" s="1" t="s">
        <v>192</v>
      </c>
      <c r="AZ104" s="1" t="s">
        <v>192</v>
      </c>
      <c r="BA104" s="1" t="s">
        <v>192</v>
      </c>
      <c r="BB104" s="1" t="s">
        <v>192</v>
      </c>
      <c r="BC104" s="1" t="s">
        <v>192</v>
      </c>
      <c r="BD104" s="1" t="s">
        <v>192</v>
      </c>
      <c r="BE104" s="1" t="s">
        <v>192</v>
      </c>
      <c r="BF104" s="1" t="s">
        <v>192</v>
      </c>
      <c r="BG104" s="1" t="s">
        <v>192</v>
      </c>
      <c r="BH104" s="1" t="s">
        <v>192</v>
      </c>
      <c r="BI104" s="1" t="s">
        <v>192</v>
      </c>
      <c r="BJ104" s="1" t="s">
        <v>192</v>
      </c>
      <c r="BK104" s="1" t="s">
        <v>192</v>
      </c>
      <c r="BL104" s="1" t="s">
        <v>192</v>
      </c>
      <c r="BM104" s="1" t="s">
        <v>192</v>
      </c>
      <c r="BN104" s="1" t="s">
        <v>192</v>
      </c>
      <c r="BO104" s="1">
        <v>1</v>
      </c>
      <c r="BP104" s="1" t="s">
        <v>192</v>
      </c>
      <c r="BQ104" s="1" t="s">
        <v>192</v>
      </c>
      <c r="BR104" s="1" t="s">
        <v>192</v>
      </c>
      <c r="BS104" s="1" t="s">
        <v>192</v>
      </c>
      <c r="BT104" s="1" t="s">
        <v>192</v>
      </c>
      <c r="BU104" s="1" t="s">
        <v>192</v>
      </c>
      <c r="BV104" s="1" t="s">
        <v>192</v>
      </c>
      <c r="BW104" s="1" t="s">
        <v>192</v>
      </c>
      <c r="BX104" s="1" t="s">
        <v>192</v>
      </c>
      <c r="BY104" s="1" t="s">
        <v>192</v>
      </c>
      <c r="BZ104" s="1" t="s">
        <v>192</v>
      </c>
      <c r="CA104" s="1" t="s">
        <v>192</v>
      </c>
      <c r="CB104" s="1" t="s">
        <v>192</v>
      </c>
      <c r="CC104" s="1" t="s">
        <v>192</v>
      </c>
      <c r="CD104" s="1" t="s">
        <v>192</v>
      </c>
      <c r="CE104" s="1" t="s">
        <v>192</v>
      </c>
      <c r="CF104" s="1" t="s">
        <v>192</v>
      </c>
      <c r="CG104" s="1">
        <v>3</v>
      </c>
      <c r="CH104" s="1" t="s">
        <v>192</v>
      </c>
      <c r="CI104" s="1" t="s">
        <v>192</v>
      </c>
      <c r="CJ104" s="1" t="s">
        <v>192</v>
      </c>
      <c r="CK104" s="1" t="s">
        <v>192</v>
      </c>
      <c r="CL104" s="1" t="s">
        <v>192</v>
      </c>
      <c r="CM104" s="1" t="s">
        <v>192</v>
      </c>
      <c r="CN104" s="1" t="s">
        <v>192</v>
      </c>
      <c r="CO104" s="1" t="s">
        <v>192</v>
      </c>
      <c r="CP104" s="1" t="s">
        <v>192</v>
      </c>
      <c r="CQ104" s="1" t="s">
        <v>192</v>
      </c>
      <c r="CR104" s="1" t="s">
        <v>192</v>
      </c>
      <c r="CS104" s="1" t="s">
        <v>192</v>
      </c>
      <c r="CT104" s="1">
        <f>SUM(Table7[[#This Row],[Acyl_amino_acids]:[T3PKS]])</f>
        <v>5</v>
      </c>
      <c r="CU104" s="1" t="s">
        <v>192</v>
      </c>
      <c r="CW104" s="1" t="str">
        <f>Table7[[#This Row],[NRPS]]</f>
        <v>-</v>
      </c>
      <c r="CX104" s="1">
        <f>SUM(CP104,CR104,CS104,Table7[[#This Row],[T1PKS, T3PKS]])</f>
        <v>0</v>
      </c>
      <c r="CY104" s="1">
        <f t="shared" si="1"/>
        <v>0</v>
      </c>
      <c r="CZ104" s="1">
        <f>Table7[[#This Row],[Terpene]]</f>
        <v>3</v>
      </c>
      <c r="DA104" s="1">
        <f>SUM(Table7[[#This Row],[Thiopeptide]],BH104,BF104,BE104,BC104,AZ104,AX104,AW104,AJ104,AH104,N104,L104,J104,H104,I104,K104,R104,Q104,Table7[[#This Row],[Cyanobactin, LAP]])</f>
        <v>1</v>
      </c>
      <c r="DB104" s="1">
        <f>SUM(CO104,CN104,CL104,CK104,CJ104,CI104,CH104,CF104,CE104,CD104,CB104,CA104,BZ104,BY104,BX104,BW104,BV104,BT104,BR104,BQ104,BP104,BO104,BM104,BK104,BJ104,BI104,BG104,BD104,BB104,BA104,AY104,AV104,AU104,AT104,AS104,AR104,AQ104,AP104,AO104,AN104,AM104,AL104,AK104,AG104,AF104,AE104,AD104,AC104,AB104,AA104,Z104,Y104,X104,W104,V104,U104,T104,S104,P104,O104,M104,Table7[[#This Row],[Acyl_amino_acids]],E104,F104,G104,)</f>
        <v>1</v>
      </c>
    </row>
    <row r="105" spans="1:106" x14ac:dyDescent="0.25">
      <c r="A105" s="9" t="s">
        <v>662</v>
      </c>
      <c r="B105" s="1" t="s">
        <v>435</v>
      </c>
      <c r="C105" s="1" t="s">
        <v>339</v>
      </c>
      <c r="D105" s="3" t="s">
        <v>192</v>
      </c>
      <c r="E105" s="3" t="s">
        <v>192</v>
      </c>
      <c r="F105" s="3" t="s">
        <v>192</v>
      </c>
      <c r="G105" s="3" t="s">
        <v>192</v>
      </c>
      <c r="H105" s="3" t="s">
        <v>192</v>
      </c>
      <c r="I105" s="3" t="s">
        <v>192</v>
      </c>
      <c r="J105" s="3" t="s">
        <v>192</v>
      </c>
      <c r="K105" s="3" t="s">
        <v>192</v>
      </c>
      <c r="L105" s="3" t="s">
        <v>192</v>
      </c>
      <c r="M105" s="3" t="s">
        <v>192</v>
      </c>
      <c r="N105" s="3" t="s">
        <v>192</v>
      </c>
      <c r="O105" s="3" t="s">
        <v>192</v>
      </c>
      <c r="P105" s="3" t="s">
        <v>192</v>
      </c>
      <c r="Q105" s="3" t="s">
        <v>192</v>
      </c>
      <c r="R105" s="3" t="s">
        <v>192</v>
      </c>
      <c r="S105" s="3" t="s">
        <v>192</v>
      </c>
      <c r="T105" s="3" t="s">
        <v>192</v>
      </c>
      <c r="U105" s="3" t="s">
        <v>192</v>
      </c>
      <c r="V105" s="3" t="s">
        <v>192</v>
      </c>
      <c r="W105" s="3" t="s">
        <v>192</v>
      </c>
      <c r="X105" s="3" t="s">
        <v>192</v>
      </c>
      <c r="Y105" s="3" t="s">
        <v>192</v>
      </c>
      <c r="Z105" s="3" t="s">
        <v>192</v>
      </c>
      <c r="AA105" s="3" t="s">
        <v>192</v>
      </c>
      <c r="AB105" s="3">
        <v>1</v>
      </c>
      <c r="AC105" s="3" t="s">
        <v>192</v>
      </c>
      <c r="AD105" s="3" t="s">
        <v>192</v>
      </c>
      <c r="AE105" s="3" t="s">
        <v>192</v>
      </c>
      <c r="AF105" s="3" t="s">
        <v>192</v>
      </c>
      <c r="AG105" s="3" t="s">
        <v>192</v>
      </c>
      <c r="AH105" s="3">
        <v>1</v>
      </c>
      <c r="AI105" s="3" t="s">
        <v>192</v>
      </c>
      <c r="AJ105" s="3" t="s">
        <v>192</v>
      </c>
      <c r="AK105" s="3" t="s">
        <v>192</v>
      </c>
      <c r="AL105" s="3" t="s">
        <v>192</v>
      </c>
      <c r="AM105" s="3" t="s">
        <v>192</v>
      </c>
      <c r="AN105" s="3" t="s">
        <v>192</v>
      </c>
      <c r="AO105" s="3" t="s">
        <v>192</v>
      </c>
      <c r="AP105" s="3" t="s">
        <v>192</v>
      </c>
      <c r="AQ105" s="3" t="s">
        <v>192</v>
      </c>
      <c r="AR105" s="3" t="s">
        <v>192</v>
      </c>
      <c r="AS105" s="3" t="s">
        <v>192</v>
      </c>
      <c r="AT105" s="3" t="s">
        <v>192</v>
      </c>
      <c r="AU105" s="3" t="s">
        <v>192</v>
      </c>
      <c r="AV105" s="3" t="s">
        <v>192</v>
      </c>
      <c r="AW105" s="3">
        <v>1</v>
      </c>
      <c r="AX105" s="3" t="s">
        <v>192</v>
      </c>
      <c r="AY105" s="3" t="s">
        <v>192</v>
      </c>
      <c r="AZ105" s="3" t="s">
        <v>192</v>
      </c>
      <c r="BA105" s="3" t="s">
        <v>192</v>
      </c>
      <c r="BB105" s="3" t="s">
        <v>192</v>
      </c>
      <c r="BC105" s="3" t="s">
        <v>192</v>
      </c>
      <c r="BD105" s="3" t="s">
        <v>192</v>
      </c>
      <c r="BE105" s="3" t="s">
        <v>192</v>
      </c>
      <c r="BF105" s="3" t="s">
        <v>192</v>
      </c>
      <c r="BG105" s="3" t="s">
        <v>192</v>
      </c>
      <c r="BH105" s="3">
        <v>1</v>
      </c>
      <c r="BI105" s="3" t="s">
        <v>192</v>
      </c>
      <c r="BJ105" s="3" t="s">
        <v>192</v>
      </c>
      <c r="BK105" s="3" t="s">
        <v>192</v>
      </c>
      <c r="BL105" s="3">
        <v>1</v>
      </c>
      <c r="BM105" s="3" t="s">
        <v>192</v>
      </c>
      <c r="BN105" s="3" t="s">
        <v>192</v>
      </c>
      <c r="BO105" s="3" t="s">
        <v>192</v>
      </c>
      <c r="BP105" s="3" t="s">
        <v>192</v>
      </c>
      <c r="BQ105" s="3" t="s">
        <v>192</v>
      </c>
      <c r="BR105" s="3" t="s">
        <v>192</v>
      </c>
      <c r="BS105" s="3" t="s">
        <v>192</v>
      </c>
      <c r="BT105" s="3" t="s">
        <v>192</v>
      </c>
      <c r="BU105" s="3" t="s">
        <v>192</v>
      </c>
      <c r="BV105" s="3" t="s">
        <v>192</v>
      </c>
      <c r="BW105" s="3" t="s">
        <v>192</v>
      </c>
      <c r="BX105" s="3" t="s">
        <v>192</v>
      </c>
      <c r="BY105" s="3" t="s">
        <v>192</v>
      </c>
      <c r="BZ105" s="3" t="s">
        <v>192</v>
      </c>
      <c r="CA105" s="3" t="s">
        <v>192</v>
      </c>
      <c r="CB105" s="3" t="s">
        <v>192</v>
      </c>
      <c r="CC105" s="3" t="s">
        <v>192</v>
      </c>
      <c r="CD105" s="3" t="s">
        <v>192</v>
      </c>
      <c r="CE105" s="3" t="s">
        <v>192</v>
      </c>
      <c r="CF105" s="3" t="s">
        <v>192</v>
      </c>
      <c r="CG105" s="3">
        <v>3</v>
      </c>
      <c r="CH105" s="3" t="s">
        <v>192</v>
      </c>
      <c r="CI105" s="3" t="s">
        <v>192</v>
      </c>
      <c r="CJ105" s="3" t="s">
        <v>192</v>
      </c>
      <c r="CK105" s="3" t="s">
        <v>192</v>
      </c>
      <c r="CL105" s="3" t="s">
        <v>192</v>
      </c>
      <c r="CM105" s="3" t="s">
        <v>192</v>
      </c>
      <c r="CN105" s="3" t="s">
        <v>192</v>
      </c>
      <c r="CO105" s="3" t="s">
        <v>192</v>
      </c>
      <c r="CP105" s="3" t="s">
        <v>192</v>
      </c>
      <c r="CQ105" s="3" t="s">
        <v>192</v>
      </c>
      <c r="CR105" s="3" t="s">
        <v>192</v>
      </c>
      <c r="CS105" s="3" t="s">
        <v>192</v>
      </c>
      <c r="CT105" s="1">
        <f>SUM(Table7[[#This Row],[Acyl_amino_acids]:[T3PKS]])</f>
        <v>8</v>
      </c>
      <c r="CU105" s="2" t="s">
        <v>593</v>
      </c>
      <c r="CW105" s="1">
        <f>Table7[[#This Row],[NRPS]]</f>
        <v>1</v>
      </c>
      <c r="CX105" s="1">
        <f>SUM(CP105,CR105,CS105,Table7[[#This Row],[T1PKS, T3PKS]])</f>
        <v>0</v>
      </c>
      <c r="CY105" s="1">
        <f t="shared" si="1"/>
        <v>0</v>
      </c>
      <c r="CZ105" s="1">
        <f>Table7[[#This Row],[Terpene]]</f>
        <v>3</v>
      </c>
      <c r="DA105" s="1">
        <f>SUM(Table7[[#This Row],[Thiopeptide]],BH105,BF105,BE105,BC105,AZ105,AX105,AW105,AJ105,AH105,N105,L105,J105,H105,I105,K105,R105,Q105,Table7[[#This Row],[Cyanobactin, LAP]])</f>
        <v>3</v>
      </c>
      <c r="DB105" s="1">
        <f>SUM(CO105,CN105,CL105,CK105,CJ105,CI105,CH105,CF105,CE105,CD105,CB105,CA105,BZ105,BY105,BX105,BW105,BV105,BT105,BR105,BQ105,BP105,BO105,BM105,BK105,BJ105,BI105,BG105,BD105,BB105,BA105,AY105,AV105,AU105,AT105,AS105,AR105,AQ105,AP105,AO105,AN105,AM105,AL105,AK105,AG105,AF105,AE105,AD105,AC105,AB105,AA105,Z105,Y105,X105,W105,V105,U105,T105,S105,P105,O105,M105,Table7[[#This Row],[Acyl_amino_acids]],E105,F105,G105,)</f>
        <v>1</v>
      </c>
    </row>
    <row r="106" spans="1:106" x14ac:dyDescent="0.25">
      <c r="A106" s="9" t="s">
        <v>641</v>
      </c>
      <c r="B106" s="1" t="s">
        <v>435</v>
      </c>
      <c r="C106" s="1" t="s">
        <v>343</v>
      </c>
      <c r="D106" s="1" t="s">
        <v>192</v>
      </c>
      <c r="E106" s="3" t="s">
        <v>192</v>
      </c>
      <c r="F106" s="3" t="s">
        <v>192</v>
      </c>
      <c r="G106" s="3" t="s">
        <v>192</v>
      </c>
      <c r="H106" s="3" t="s">
        <v>192</v>
      </c>
      <c r="I106" s="3" t="s">
        <v>192</v>
      </c>
      <c r="J106" s="3" t="s">
        <v>192</v>
      </c>
      <c r="K106" s="3" t="s">
        <v>192</v>
      </c>
      <c r="L106" s="3" t="s">
        <v>192</v>
      </c>
      <c r="M106" s="3" t="s">
        <v>192</v>
      </c>
      <c r="N106" s="3" t="s">
        <v>192</v>
      </c>
      <c r="O106" s="3" t="s">
        <v>192</v>
      </c>
      <c r="P106" s="3" t="s">
        <v>192</v>
      </c>
      <c r="Q106" s="3" t="s">
        <v>192</v>
      </c>
      <c r="R106" s="3" t="s">
        <v>192</v>
      </c>
      <c r="S106" s="3" t="s">
        <v>192</v>
      </c>
      <c r="T106" s="3" t="s">
        <v>192</v>
      </c>
      <c r="U106" s="3" t="s">
        <v>192</v>
      </c>
      <c r="V106" s="3" t="s">
        <v>192</v>
      </c>
      <c r="W106" s="3" t="s">
        <v>192</v>
      </c>
      <c r="X106" s="3" t="s">
        <v>192</v>
      </c>
      <c r="Y106" s="3" t="s">
        <v>192</v>
      </c>
      <c r="Z106" s="3" t="s">
        <v>192</v>
      </c>
      <c r="AA106" s="3">
        <v>1</v>
      </c>
      <c r="AB106" s="3" t="s">
        <v>192</v>
      </c>
      <c r="AC106" s="3" t="s">
        <v>192</v>
      </c>
      <c r="AD106" s="3" t="s">
        <v>192</v>
      </c>
      <c r="AE106" s="3" t="s">
        <v>192</v>
      </c>
      <c r="AF106" s="3" t="s">
        <v>192</v>
      </c>
      <c r="AG106" s="3" t="s">
        <v>192</v>
      </c>
      <c r="AH106" s="3">
        <v>1</v>
      </c>
      <c r="AI106" s="3" t="s">
        <v>192</v>
      </c>
      <c r="AJ106" s="3" t="s">
        <v>192</v>
      </c>
      <c r="AK106" s="3" t="s">
        <v>192</v>
      </c>
      <c r="AL106" s="3" t="s">
        <v>192</v>
      </c>
      <c r="AM106" s="3" t="s">
        <v>192</v>
      </c>
      <c r="AN106" s="3" t="s">
        <v>192</v>
      </c>
      <c r="AO106" s="3" t="s">
        <v>192</v>
      </c>
      <c r="AP106" s="3" t="s">
        <v>192</v>
      </c>
      <c r="AQ106" s="3" t="s">
        <v>192</v>
      </c>
      <c r="AR106" s="3" t="s">
        <v>192</v>
      </c>
      <c r="AS106" s="3" t="s">
        <v>192</v>
      </c>
      <c r="AT106" s="3" t="s">
        <v>192</v>
      </c>
      <c r="AU106" s="3" t="s">
        <v>192</v>
      </c>
      <c r="AV106" s="3" t="s">
        <v>192</v>
      </c>
      <c r="AW106" s="3">
        <v>1</v>
      </c>
      <c r="AX106" s="3" t="s">
        <v>192</v>
      </c>
      <c r="AY106" s="3" t="s">
        <v>192</v>
      </c>
      <c r="AZ106" s="3" t="s">
        <v>192</v>
      </c>
      <c r="BA106" s="3" t="s">
        <v>192</v>
      </c>
      <c r="BB106" s="3" t="s">
        <v>192</v>
      </c>
      <c r="BC106" s="3" t="s">
        <v>192</v>
      </c>
      <c r="BD106" s="3" t="s">
        <v>192</v>
      </c>
      <c r="BE106" s="3" t="s">
        <v>192</v>
      </c>
      <c r="BF106" s="3" t="s">
        <v>192</v>
      </c>
      <c r="BG106" s="3" t="s">
        <v>192</v>
      </c>
      <c r="BH106" s="3" t="s">
        <v>192</v>
      </c>
      <c r="BI106" s="3" t="s">
        <v>192</v>
      </c>
      <c r="BJ106" s="3" t="s">
        <v>192</v>
      </c>
      <c r="BK106" s="3" t="s">
        <v>192</v>
      </c>
      <c r="BL106" s="3">
        <v>1</v>
      </c>
      <c r="BM106" s="3" t="s">
        <v>192</v>
      </c>
      <c r="BN106" s="3" t="s">
        <v>192</v>
      </c>
      <c r="BO106" s="3" t="s">
        <v>192</v>
      </c>
      <c r="BP106" s="3" t="s">
        <v>192</v>
      </c>
      <c r="BQ106" s="3" t="s">
        <v>192</v>
      </c>
      <c r="BR106" s="3" t="s">
        <v>192</v>
      </c>
      <c r="BS106" s="3">
        <v>1</v>
      </c>
      <c r="BT106" s="3" t="s">
        <v>192</v>
      </c>
      <c r="BU106" s="3" t="s">
        <v>192</v>
      </c>
      <c r="BV106" s="3" t="s">
        <v>192</v>
      </c>
      <c r="BW106" s="3" t="s">
        <v>192</v>
      </c>
      <c r="BX106" s="3" t="s">
        <v>192</v>
      </c>
      <c r="BY106" s="3" t="s">
        <v>192</v>
      </c>
      <c r="BZ106" s="3" t="s">
        <v>192</v>
      </c>
      <c r="CA106" s="3">
        <v>1</v>
      </c>
      <c r="CB106" s="3" t="s">
        <v>192</v>
      </c>
      <c r="CC106" s="3" t="s">
        <v>192</v>
      </c>
      <c r="CD106" s="3" t="s">
        <v>192</v>
      </c>
      <c r="CE106" s="3" t="s">
        <v>192</v>
      </c>
      <c r="CF106" s="3" t="s">
        <v>192</v>
      </c>
      <c r="CG106" s="3">
        <v>3</v>
      </c>
      <c r="CH106" s="3" t="s">
        <v>192</v>
      </c>
      <c r="CI106" s="3" t="s">
        <v>192</v>
      </c>
      <c r="CJ106" s="3" t="s">
        <v>192</v>
      </c>
      <c r="CK106" s="3" t="s">
        <v>192</v>
      </c>
      <c r="CL106" s="3" t="s">
        <v>192</v>
      </c>
      <c r="CM106" s="3" t="s">
        <v>192</v>
      </c>
      <c r="CN106" s="3" t="s">
        <v>192</v>
      </c>
      <c r="CO106" s="3" t="s">
        <v>192</v>
      </c>
      <c r="CP106" s="3" t="s">
        <v>192</v>
      </c>
      <c r="CQ106" s="3" t="s">
        <v>192</v>
      </c>
      <c r="CR106" s="3" t="s">
        <v>192</v>
      </c>
      <c r="CS106" s="3" t="s">
        <v>192</v>
      </c>
      <c r="CT106" s="1">
        <f>SUM(Table7[[#This Row],[Acyl_amino_acids]:[T3PKS]])</f>
        <v>9</v>
      </c>
      <c r="CU106" s="9" t="s">
        <v>521</v>
      </c>
      <c r="CW106" s="1">
        <f>Table7[[#This Row],[NRPS]]</f>
        <v>1</v>
      </c>
      <c r="CX106" s="1">
        <f>SUM(CP106,CR106,CS106,Table7[[#This Row],[T1PKS, T3PKS]])</f>
        <v>0</v>
      </c>
      <c r="CY106" s="1">
        <f t="shared" si="1"/>
        <v>1</v>
      </c>
      <c r="CZ106" s="1">
        <f>Table7[[#This Row],[Terpene]]</f>
        <v>3</v>
      </c>
      <c r="DA106" s="1">
        <f>SUM(Table7[[#This Row],[Thiopeptide]],BH106,BF106,BE106,BC106,AZ106,AX106,AW106,AJ106,AH106,N106,L106,J106,H106,I106,K106,R106,Q106,Table7[[#This Row],[Cyanobactin, LAP]])</f>
        <v>2</v>
      </c>
      <c r="DB106" s="1">
        <f>SUM(CO106,CN106,CL106,CK106,CJ106,CI106,CH106,CF106,CE106,CD106,CB106,CA106,BZ106,BY106,BX106,BW106,BV106,BT106,BR106,BQ106,BP106,BO106,BM106,BK106,BJ106,BI106,BG106,BD106,BB106,BA106,AY106,AV106,AU106,AT106,AS106,AR106,AQ106,AP106,AO106,AN106,AM106,AL106,AK106,AG106,AF106,AE106,AD106,AC106,AB106,AA106,Z106,Y106,X106,W106,V106,U106,T106,S106,P106,O106,M106,Table7[[#This Row],[Acyl_amino_acids]],E106,F106,G106,)</f>
        <v>2</v>
      </c>
    </row>
    <row r="107" spans="1:106" x14ac:dyDescent="0.25">
      <c r="A107" s="9" t="s">
        <v>716</v>
      </c>
      <c r="B107" s="1" t="s">
        <v>435</v>
      </c>
      <c r="C107" s="1" t="s">
        <v>346</v>
      </c>
      <c r="D107" s="1" t="s">
        <v>192</v>
      </c>
      <c r="E107" s="1" t="s">
        <v>192</v>
      </c>
      <c r="F107" s="3" t="s">
        <v>192</v>
      </c>
      <c r="G107" s="3" t="s">
        <v>192</v>
      </c>
      <c r="H107" s="3">
        <v>2</v>
      </c>
      <c r="I107" s="3" t="s">
        <v>192</v>
      </c>
      <c r="J107" s="3" t="s">
        <v>192</v>
      </c>
      <c r="K107" s="3" t="s">
        <v>192</v>
      </c>
      <c r="L107" s="3" t="s">
        <v>192</v>
      </c>
      <c r="M107" s="3" t="s">
        <v>192</v>
      </c>
      <c r="N107" s="3" t="s">
        <v>192</v>
      </c>
      <c r="O107" s="3" t="s">
        <v>192</v>
      </c>
      <c r="P107" s="3" t="s">
        <v>192</v>
      </c>
      <c r="Q107" s="3" t="s">
        <v>192</v>
      </c>
      <c r="R107" s="3" t="s">
        <v>192</v>
      </c>
      <c r="S107" s="3" t="s">
        <v>192</v>
      </c>
      <c r="T107" s="3" t="s">
        <v>192</v>
      </c>
      <c r="U107" s="3" t="s">
        <v>192</v>
      </c>
      <c r="V107" s="3" t="s">
        <v>192</v>
      </c>
      <c r="W107" s="3" t="s">
        <v>192</v>
      </c>
      <c r="X107" s="3" t="s">
        <v>192</v>
      </c>
      <c r="Y107" s="3" t="s">
        <v>192</v>
      </c>
      <c r="Z107" s="3" t="s">
        <v>192</v>
      </c>
      <c r="AA107" s="3" t="s">
        <v>192</v>
      </c>
      <c r="AB107" s="3" t="s">
        <v>192</v>
      </c>
      <c r="AC107" s="3" t="s">
        <v>192</v>
      </c>
      <c r="AD107" s="3" t="s">
        <v>192</v>
      </c>
      <c r="AE107" s="3" t="s">
        <v>192</v>
      </c>
      <c r="AF107" s="3" t="s">
        <v>192</v>
      </c>
      <c r="AG107" s="3" t="s">
        <v>192</v>
      </c>
      <c r="AH107" s="3" t="s">
        <v>192</v>
      </c>
      <c r="AI107" s="3" t="s">
        <v>192</v>
      </c>
      <c r="AJ107" s="3" t="s">
        <v>192</v>
      </c>
      <c r="AK107" s="3" t="s">
        <v>192</v>
      </c>
      <c r="AL107" s="3" t="s">
        <v>192</v>
      </c>
      <c r="AM107" s="3" t="s">
        <v>192</v>
      </c>
      <c r="AN107" s="3" t="s">
        <v>192</v>
      </c>
      <c r="AO107" s="3" t="s">
        <v>192</v>
      </c>
      <c r="AP107" s="3" t="s">
        <v>192</v>
      </c>
      <c r="AQ107" s="3" t="s">
        <v>192</v>
      </c>
      <c r="AR107" s="3" t="s">
        <v>192</v>
      </c>
      <c r="AS107" s="3" t="s">
        <v>192</v>
      </c>
      <c r="AT107" s="3" t="s">
        <v>192</v>
      </c>
      <c r="AU107" s="3" t="s">
        <v>192</v>
      </c>
      <c r="AV107" s="3" t="s">
        <v>192</v>
      </c>
      <c r="AW107" s="3" t="s">
        <v>192</v>
      </c>
      <c r="AX107" s="3" t="s">
        <v>192</v>
      </c>
      <c r="AY107" s="3" t="s">
        <v>192</v>
      </c>
      <c r="AZ107" s="3" t="s">
        <v>192</v>
      </c>
      <c r="BA107" s="3" t="s">
        <v>192</v>
      </c>
      <c r="BB107" s="3" t="s">
        <v>192</v>
      </c>
      <c r="BC107" s="3">
        <v>1</v>
      </c>
      <c r="BD107" s="3" t="s">
        <v>192</v>
      </c>
      <c r="BE107" s="3" t="s">
        <v>192</v>
      </c>
      <c r="BF107" s="3" t="s">
        <v>192</v>
      </c>
      <c r="BG107" s="3" t="s">
        <v>192</v>
      </c>
      <c r="BH107" s="3" t="s">
        <v>192</v>
      </c>
      <c r="BI107" s="3" t="s">
        <v>192</v>
      </c>
      <c r="BJ107" s="3" t="s">
        <v>192</v>
      </c>
      <c r="BK107" s="3" t="s">
        <v>192</v>
      </c>
      <c r="BL107" s="3" t="s">
        <v>192</v>
      </c>
      <c r="BM107" s="3" t="s">
        <v>192</v>
      </c>
      <c r="BN107" s="3" t="s">
        <v>192</v>
      </c>
      <c r="BO107" s="3" t="s">
        <v>192</v>
      </c>
      <c r="BP107" s="3" t="s">
        <v>192</v>
      </c>
      <c r="BQ107" s="3" t="s">
        <v>192</v>
      </c>
      <c r="BR107" s="3" t="s">
        <v>192</v>
      </c>
      <c r="BS107" s="3">
        <v>2</v>
      </c>
      <c r="BT107" s="3" t="s">
        <v>192</v>
      </c>
      <c r="BU107" s="3" t="s">
        <v>192</v>
      </c>
      <c r="BV107" s="3" t="s">
        <v>192</v>
      </c>
      <c r="BW107" s="3" t="s">
        <v>192</v>
      </c>
      <c r="BX107" s="3" t="s">
        <v>192</v>
      </c>
      <c r="BY107" s="3" t="s">
        <v>192</v>
      </c>
      <c r="BZ107" s="3" t="s">
        <v>192</v>
      </c>
      <c r="CA107" s="3" t="s">
        <v>192</v>
      </c>
      <c r="CB107" s="3" t="s">
        <v>192</v>
      </c>
      <c r="CC107" s="3" t="s">
        <v>192</v>
      </c>
      <c r="CD107" s="3" t="s">
        <v>192</v>
      </c>
      <c r="CE107" s="3" t="s">
        <v>192</v>
      </c>
      <c r="CF107" s="3" t="s">
        <v>192</v>
      </c>
      <c r="CG107" s="3">
        <v>3</v>
      </c>
      <c r="CH107" s="3" t="s">
        <v>192</v>
      </c>
      <c r="CI107" s="3" t="s">
        <v>192</v>
      </c>
      <c r="CJ107" s="3" t="s">
        <v>192</v>
      </c>
      <c r="CK107" s="3" t="s">
        <v>192</v>
      </c>
      <c r="CL107" s="3" t="s">
        <v>192</v>
      </c>
      <c r="CM107" s="3" t="s">
        <v>192</v>
      </c>
      <c r="CN107" s="3" t="s">
        <v>192</v>
      </c>
      <c r="CO107" s="3" t="s">
        <v>192</v>
      </c>
      <c r="CP107" s="3">
        <v>3</v>
      </c>
      <c r="CQ107" s="3" t="s">
        <v>192</v>
      </c>
      <c r="CR107" s="3" t="s">
        <v>192</v>
      </c>
      <c r="CS107" s="3" t="s">
        <v>192</v>
      </c>
      <c r="CT107" s="1">
        <f>SUM(Table7[[#This Row],[Acyl_amino_acids]:[T3PKS]])</f>
        <v>11</v>
      </c>
      <c r="CU107" s="3" t="s">
        <v>192</v>
      </c>
      <c r="CW107" s="1" t="str">
        <f>Table7[[#This Row],[NRPS]]</f>
        <v>-</v>
      </c>
      <c r="CX107" s="1">
        <f>SUM(CP107,CR107,CS107,Table7[[#This Row],[T1PKS, T3PKS]])</f>
        <v>3</v>
      </c>
      <c r="CY107" s="1">
        <f t="shared" si="1"/>
        <v>2</v>
      </c>
      <c r="CZ107" s="1">
        <f>Table7[[#This Row],[Terpene]]</f>
        <v>3</v>
      </c>
      <c r="DA107" s="1">
        <f>SUM(Table7[[#This Row],[Thiopeptide]],BH107,BF107,BE107,BC107,AZ107,AX107,AW107,AJ107,AH107,N107,L107,J107,H107,I107,K107,R107,Q107,Table7[[#This Row],[Cyanobactin, LAP]])</f>
        <v>3</v>
      </c>
      <c r="DB107" s="1">
        <f>SUM(CO107,CN107,CL107,CK107,CJ107,CI107,CH107,CF107,CE107,CD107,CB107,CA107,BZ107,BY107,BX107,BW107,BV107,BT107,BR107,BQ107,BP107,BO107,BM107,BK107,BJ107,BI107,BG107,BD107,BB107,BA107,AY107,AV107,AU107,AT107,AS107,AR107,AQ107,AP107,AO107,AN107,AM107,AL107,AK107,AG107,AF107,AE107,AD107,AC107,AB107,AA107,Z107,Y107,X107,W107,V107,U107,T107,S107,P107,O107,M107,Table7[[#This Row],[Acyl_amino_acids]],E107,F107,G107,)</f>
        <v>0</v>
      </c>
    </row>
    <row r="108" spans="1:106" x14ac:dyDescent="0.25">
      <c r="A108" s="9" t="s">
        <v>686</v>
      </c>
      <c r="B108" s="1" t="s">
        <v>435</v>
      </c>
      <c r="C108" s="1" t="s">
        <v>347</v>
      </c>
      <c r="D108" s="1" t="s">
        <v>192</v>
      </c>
      <c r="E108" s="1" t="s">
        <v>192</v>
      </c>
      <c r="F108" s="1" t="s">
        <v>192</v>
      </c>
      <c r="G108" s="1" t="s">
        <v>192</v>
      </c>
      <c r="H108" s="1">
        <v>1</v>
      </c>
      <c r="I108" s="1" t="s">
        <v>192</v>
      </c>
      <c r="J108" s="1" t="s">
        <v>192</v>
      </c>
      <c r="K108" s="1" t="s">
        <v>192</v>
      </c>
      <c r="L108" s="1" t="s">
        <v>192</v>
      </c>
      <c r="M108" s="1" t="s">
        <v>192</v>
      </c>
      <c r="N108" s="1" t="s">
        <v>192</v>
      </c>
      <c r="O108" s="1" t="s">
        <v>192</v>
      </c>
      <c r="P108" s="1" t="s">
        <v>192</v>
      </c>
      <c r="Q108" s="1" t="s">
        <v>192</v>
      </c>
      <c r="R108" s="1" t="s">
        <v>192</v>
      </c>
      <c r="S108" s="1" t="s">
        <v>192</v>
      </c>
      <c r="T108" s="1" t="s">
        <v>192</v>
      </c>
      <c r="U108" s="1" t="s">
        <v>192</v>
      </c>
      <c r="V108" s="1" t="s">
        <v>192</v>
      </c>
      <c r="W108" s="1" t="s">
        <v>192</v>
      </c>
      <c r="X108" s="1" t="s">
        <v>192</v>
      </c>
      <c r="Y108" s="1" t="s">
        <v>192</v>
      </c>
      <c r="Z108" s="1" t="s">
        <v>192</v>
      </c>
      <c r="AA108" s="1" t="s">
        <v>192</v>
      </c>
      <c r="AB108" s="1" t="s">
        <v>192</v>
      </c>
      <c r="AC108" s="1" t="s">
        <v>192</v>
      </c>
      <c r="AD108" s="1" t="s">
        <v>192</v>
      </c>
      <c r="AE108" s="1" t="s">
        <v>192</v>
      </c>
      <c r="AF108" s="1" t="s">
        <v>192</v>
      </c>
      <c r="AG108" s="1" t="s">
        <v>192</v>
      </c>
      <c r="AH108" s="1" t="s">
        <v>192</v>
      </c>
      <c r="AI108" s="1" t="s">
        <v>192</v>
      </c>
      <c r="AJ108" s="1" t="s">
        <v>192</v>
      </c>
      <c r="AK108" s="1" t="s">
        <v>192</v>
      </c>
      <c r="AL108" s="1" t="s">
        <v>192</v>
      </c>
      <c r="AM108" s="1" t="s">
        <v>192</v>
      </c>
      <c r="AN108" s="1" t="s">
        <v>192</v>
      </c>
      <c r="AO108" s="1" t="s">
        <v>192</v>
      </c>
      <c r="AP108" s="1" t="s">
        <v>192</v>
      </c>
      <c r="AQ108" s="1" t="s">
        <v>192</v>
      </c>
      <c r="AR108" s="1" t="s">
        <v>192</v>
      </c>
      <c r="AS108" s="1" t="s">
        <v>192</v>
      </c>
      <c r="AT108" s="1" t="s">
        <v>192</v>
      </c>
      <c r="AU108" s="1" t="s">
        <v>192</v>
      </c>
      <c r="AV108" s="1" t="s">
        <v>192</v>
      </c>
      <c r="AW108" s="1" t="s">
        <v>192</v>
      </c>
      <c r="AX108" s="1" t="s">
        <v>192</v>
      </c>
      <c r="AY108" s="1" t="s">
        <v>192</v>
      </c>
      <c r="AZ108" s="1" t="s">
        <v>192</v>
      </c>
      <c r="BA108" s="1" t="s">
        <v>192</v>
      </c>
      <c r="BB108" s="1" t="s">
        <v>192</v>
      </c>
      <c r="BC108" s="1" t="s">
        <v>192</v>
      </c>
      <c r="BD108" s="1" t="s">
        <v>192</v>
      </c>
      <c r="BE108" s="1" t="s">
        <v>192</v>
      </c>
      <c r="BF108" s="1" t="s">
        <v>192</v>
      </c>
      <c r="BG108" s="1" t="s">
        <v>192</v>
      </c>
      <c r="BH108" s="1" t="s">
        <v>192</v>
      </c>
      <c r="BI108" s="1" t="s">
        <v>192</v>
      </c>
      <c r="BJ108" s="1" t="s">
        <v>192</v>
      </c>
      <c r="BK108" s="1" t="s">
        <v>192</v>
      </c>
      <c r="BL108" s="1" t="s">
        <v>192</v>
      </c>
      <c r="BM108" s="1" t="s">
        <v>192</v>
      </c>
      <c r="BN108" s="1" t="s">
        <v>192</v>
      </c>
      <c r="BO108" s="1" t="s">
        <v>192</v>
      </c>
      <c r="BP108" s="1" t="s">
        <v>192</v>
      </c>
      <c r="BQ108" s="1" t="s">
        <v>192</v>
      </c>
      <c r="BR108" s="1" t="s">
        <v>192</v>
      </c>
      <c r="BS108" s="1" t="s">
        <v>192</v>
      </c>
      <c r="BT108" s="1" t="s">
        <v>192</v>
      </c>
      <c r="BU108" s="1" t="s">
        <v>192</v>
      </c>
      <c r="BV108" s="1" t="s">
        <v>192</v>
      </c>
      <c r="BW108" s="1" t="s">
        <v>192</v>
      </c>
      <c r="BX108" s="1" t="s">
        <v>192</v>
      </c>
      <c r="BY108" s="1" t="s">
        <v>192</v>
      </c>
      <c r="BZ108" s="1" t="s">
        <v>192</v>
      </c>
      <c r="CA108" s="1" t="s">
        <v>192</v>
      </c>
      <c r="CB108" s="1" t="s">
        <v>192</v>
      </c>
      <c r="CC108" s="1" t="s">
        <v>192</v>
      </c>
      <c r="CD108" s="1" t="s">
        <v>192</v>
      </c>
      <c r="CE108" s="1" t="s">
        <v>192</v>
      </c>
      <c r="CF108" s="1" t="s">
        <v>192</v>
      </c>
      <c r="CG108" s="1">
        <v>3</v>
      </c>
      <c r="CH108" s="1" t="s">
        <v>192</v>
      </c>
      <c r="CI108" s="1" t="s">
        <v>192</v>
      </c>
      <c r="CJ108" s="1" t="s">
        <v>192</v>
      </c>
      <c r="CK108" s="1" t="s">
        <v>192</v>
      </c>
      <c r="CL108" s="1" t="s">
        <v>192</v>
      </c>
      <c r="CM108" s="1" t="s">
        <v>192</v>
      </c>
      <c r="CN108" s="1" t="s">
        <v>192</v>
      </c>
      <c r="CO108" s="1" t="s">
        <v>192</v>
      </c>
      <c r="CP108" s="1" t="s">
        <v>192</v>
      </c>
      <c r="CQ108" s="1" t="s">
        <v>192</v>
      </c>
      <c r="CR108" s="1" t="s">
        <v>192</v>
      </c>
      <c r="CS108" s="1" t="s">
        <v>192</v>
      </c>
      <c r="CT108" s="1">
        <f>SUM(Table7[[#This Row],[Acyl_amino_acids]:[T3PKS]])</f>
        <v>4</v>
      </c>
      <c r="CU108" s="1" t="s">
        <v>192</v>
      </c>
      <c r="CW108" s="1" t="str">
        <f>Table7[[#This Row],[NRPS]]</f>
        <v>-</v>
      </c>
      <c r="CX108" s="1">
        <f>SUM(CP108,CR108,CS108,Table7[[#This Row],[T1PKS, T3PKS]])</f>
        <v>0</v>
      </c>
      <c r="CY108" s="1">
        <f t="shared" si="1"/>
        <v>0</v>
      </c>
      <c r="CZ108" s="1">
        <f>Table7[[#This Row],[Terpene]]</f>
        <v>3</v>
      </c>
      <c r="DA108" s="1">
        <f>SUM(Table7[[#This Row],[Thiopeptide]],BH108,BF108,BE108,BC108,AZ108,AX108,AW108,AJ108,AH108,N108,L108,J108,H108,I108,K108,R108,Q108,Table7[[#This Row],[Cyanobactin, LAP]])</f>
        <v>1</v>
      </c>
      <c r="DB108" s="1">
        <f>SUM(CO108,CN108,CL108,CK108,CJ108,CI108,CH108,CF108,CE108,CD108,CB108,CA108,BZ108,BY108,BX108,BW108,BV108,BT108,BR108,BQ108,BP108,BO108,BM108,BK108,BJ108,BI108,BG108,BD108,BB108,BA108,AY108,AV108,AU108,AT108,AS108,AR108,AQ108,AP108,AO108,AN108,AM108,AL108,AK108,AG108,AF108,AE108,AD108,AC108,AB108,AA108,Z108,Y108,X108,W108,V108,U108,T108,S108,P108,O108,M108,Table7[[#This Row],[Acyl_amino_acids]],E108,F108,G108,)</f>
        <v>0</v>
      </c>
    </row>
    <row r="109" spans="1:106" x14ac:dyDescent="0.25">
      <c r="A109" s="9" t="s">
        <v>693</v>
      </c>
      <c r="B109" s="1" t="s">
        <v>435</v>
      </c>
      <c r="C109" s="1" t="s">
        <v>348</v>
      </c>
      <c r="D109" s="1" t="s">
        <v>192</v>
      </c>
      <c r="E109" s="1" t="s">
        <v>192</v>
      </c>
      <c r="F109" s="1" t="s">
        <v>192</v>
      </c>
      <c r="G109" s="1" t="s">
        <v>192</v>
      </c>
      <c r="H109" s="1">
        <v>2</v>
      </c>
      <c r="I109" s="1" t="s">
        <v>192</v>
      </c>
      <c r="J109" s="1" t="s">
        <v>192</v>
      </c>
      <c r="K109" s="1" t="s">
        <v>192</v>
      </c>
      <c r="L109" s="1" t="s">
        <v>192</v>
      </c>
      <c r="M109" s="1" t="s">
        <v>192</v>
      </c>
      <c r="N109" s="1" t="s">
        <v>192</v>
      </c>
      <c r="O109" s="1" t="s">
        <v>192</v>
      </c>
      <c r="P109" s="1" t="s">
        <v>192</v>
      </c>
      <c r="Q109" s="1" t="s">
        <v>192</v>
      </c>
      <c r="R109" s="1" t="s">
        <v>192</v>
      </c>
      <c r="S109" s="1" t="s">
        <v>192</v>
      </c>
      <c r="T109" s="1" t="s">
        <v>192</v>
      </c>
      <c r="U109" s="1" t="s">
        <v>192</v>
      </c>
      <c r="V109" s="1" t="s">
        <v>192</v>
      </c>
      <c r="W109" s="1" t="s">
        <v>192</v>
      </c>
      <c r="X109" s="1" t="s">
        <v>192</v>
      </c>
      <c r="Y109" s="1" t="s">
        <v>192</v>
      </c>
      <c r="Z109" s="1" t="s">
        <v>192</v>
      </c>
      <c r="AA109" s="1" t="s">
        <v>192</v>
      </c>
      <c r="AB109" s="1" t="s">
        <v>192</v>
      </c>
      <c r="AC109" s="1" t="s">
        <v>192</v>
      </c>
      <c r="AD109" s="1" t="s">
        <v>192</v>
      </c>
      <c r="AE109" s="1" t="s">
        <v>192</v>
      </c>
      <c r="AF109" s="1" t="s">
        <v>192</v>
      </c>
      <c r="AG109" s="1" t="s">
        <v>192</v>
      </c>
      <c r="AH109" s="1" t="s">
        <v>192</v>
      </c>
      <c r="AI109" s="1" t="s">
        <v>192</v>
      </c>
      <c r="AJ109" s="1" t="s">
        <v>192</v>
      </c>
      <c r="AK109" s="1" t="s">
        <v>192</v>
      </c>
      <c r="AL109" s="1" t="s">
        <v>192</v>
      </c>
      <c r="AM109" s="1" t="s">
        <v>192</v>
      </c>
      <c r="AN109" s="1" t="s">
        <v>192</v>
      </c>
      <c r="AO109" s="1" t="s">
        <v>192</v>
      </c>
      <c r="AP109" s="1" t="s">
        <v>192</v>
      </c>
      <c r="AQ109" s="1" t="s">
        <v>192</v>
      </c>
      <c r="AR109" s="1" t="s">
        <v>192</v>
      </c>
      <c r="AS109" s="1" t="s">
        <v>192</v>
      </c>
      <c r="AT109" s="1" t="s">
        <v>192</v>
      </c>
      <c r="AU109" s="1" t="s">
        <v>192</v>
      </c>
      <c r="AV109" s="1" t="s">
        <v>192</v>
      </c>
      <c r="AW109" s="1" t="s">
        <v>192</v>
      </c>
      <c r="AX109" s="1" t="s">
        <v>192</v>
      </c>
      <c r="AY109" s="1" t="s">
        <v>192</v>
      </c>
      <c r="AZ109" s="1" t="s">
        <v>192</v>
      </c>
      <c r="BA109" s="1" t="s">
        <v>192</v>
      </c>
      <c r="BB109" s="1" t="s">
        <v>192</v>
      </c>
      <c r="BC109" s="1" t="s">
        <v>192</v>
      </c>
      <c r="BD109" s="1" t="s">
        <v>192</v>
      </c>
      <c r="BE109" s="1" t="s">
        <v>192</v>
      </c>
      <c r="BF109" s="1" t="s">
        <v>192</v>
      </c>
      <c r="BG109" s="1" t="s">
        <v>192</v>
      </c>
      <c r="BH109" s="1" t="s">
        <v>192</v>
      </c>
      <c r="BI109" s="1" t="s">
        <v>192</v>
      </c>
      <c r="BJ109" s="1" t="s">
        <v>192</v>
      </c>
      <c r="BK109" s="1" t="s">
        <v>192</v>
      </c>
      <c r="BL109" s="1" t="s">
        <v>192</v>
      </c>
      <c r="BM109" s="1" t="s">
        <v>192</v>
      </c>
      <c r="BN109" s="1" t="s">
        <v>192</v>
      </c>
      <c r="BO109" s="1" t="s">
        <v>192</v>
      </c>
      <c r="BP109" s="1" t="s">
        <v>192</v>
      </c>
      <c r="BQ109" s="1" t="s">
        <v>192</v>
      </c>
      <c r="BR109" s="1" t="s">
        <v>192</v>
      </c>
      <c r="BS109" s="1" t="s">
        <v>192</v>
      </c>
      <c r="BT109" s="1" t="s">
        <v>192</v>
      </c>
      <c r="BU109" s="1" t="s">
        <v>192</v>
      </c>
      <c r="BV109" s="1" t="s">
        <v>192</v>
      </c>
      <c r="BW109" s="1" t="s">
        <v>192</v>
      </c>
      <c r="BX109" s="1" t="s">
        <v>192</v>
      </c>
      <c r="BY109" s="1" t="s">
        <v>192</v>
      </c>
      <c r="BZ109" s="1" t="s">
        <v>192</v>
      </c>
      <c r="CA109" s="1" t="s">
        <v>192</v>
      </c>
      <c r="CB109" s="1" t="s">
        <v>192</v>
      </c>
      <c r="CC109" s="1" t="s">
        <v>192</v>
      </c>
      <c r="CD109" s="1" t="s">
        <v>192</v>
      </c>
      <c r="CE109" s="1" t="s">
        <v>192</v>
      </c>
      <c r="CF109" s="1" t="s">
        <v>192</v>
      </c>
      <c r="CG109" s="1">
        <v>3</v>
      </c>
      <c r="CH109" s="1" t="s">
        <v>192</v>
      </c>
      <c r="CI109" s="1" t="s">
        <v>192</v>
      </c>
      <c r="CJ109" s="1" t="s">
        <v>192</v>
      </c>
      <c r="CK109" s="1" t="s">
        <v>192</v>
      </c>
      <c r="CL109" s="1" t="s">
        <v>192</v>
      </c>
      <c r="CM109" s="1" t="s">
        <v>192</v>
      </c>
      <c r="CN109" s="1" t="s">
        <v>192</v>
      </c>
      <c r="CO109" s="1" t="s">
        <v>192</v>
      </c>
      <c r="CP109" s="1" t="s">
        <v>192</v>
      </c>
      <c r="CQ109" s="1" t="s">
        <v>192</v>
      </c>
      <c r="CR109" s="1" t="s">
        <v>192</v>
      </c>
      <c r="CS109" s="1" t="s">
        <v>192</v>
      </c>
      <c r="CT109" s="1">
        <f>SUM(Table7[[#This Row],[Acyl_amino_acids]:[T3PKS]])</f>
        <v>5</v>
      </c>
      <c r="CU109" s="1" t="s">
        <v>192</v>
      </c>
      <c r="CW109" s="1" t="str">
        <f>Table7[[#This Row],[NRPS]]</f>
        <v>-</v>
      </c>
      <c r="CX109" s="1">
        <f>SUM(CP109,CR109,CS109,Table7[[#This Row],[T1PKS, T3PKS]])</f>
        <v>0</v>
      </c>
      <c r="CY109" s="1">
        <f t="shared" si="1"/>
        <v>0</v>
      </c>
      <c r="CZ109" s="1">
        <f>Table7[[#This Row],[Terpene]]</f>
        <v>3</v>
      </c>
      <c r="DA109" s="1">
        <f>SUM(Table7[[#This Row],[Thiopeptide]],BH109,BF109,BE109,BC109,AZ109,AX109,AW109,AJ109,AH109,N109,L109,J109,H109,I109,K109,R109,Q109,Table7[[#This Row],[Cyanobactin, LAP]])</f>
        <v>2</v>
      </c>
      <c r="DB109" s="1">
        <f>SUM(CO109,CN109,CL109,CK109,CJ109,CI109,CH109,CF109,CE109,CD109,CB109,CA109,BZ109,BY109,BX109,BW109,BV109,BT109,BR109,BQ109,BP109,BO109,BM109,BK109,BJ109,BI109,BG109,BD109,BB109,BA109,AY109,AV109,AU109,AT109,AS109,AR109,AQ109,AP109,AO109,AN109,AM109,AL109,AK109,AG109,AF109,AE109,AD109,AC109,AB109,AA109,Z109,Y109,X109,W109,V109,U109,T109,S109,P109,O109,M109,Table7[[#This Row],[Acyl_amino_acids]],E109,F109,G109,)</f>
        <v>0</v>
      </c>
    </row>
    <row r="110" spans="1:106" x14ac:dyDescent="0.25">
      <c r="A110" s="9" t="s">
        <v>692</v>
      </c>
      <c r="B110" s="1" t="s">
        <v>435</v>
      </c>
      <c r="C110" s="1" t="s">
        <v>349</v>
      </c>
      <c r="D110" s="1" t="s">
        <v>192</v>
      </c>
      <c r="E110" s="1" t="s">
        <v>192</v>
      </c>
      <c r="F110" s="1" t="s">
        <v>192</v>
      </c>
      <c r="G110" s="1" t="s">
        <v>192</v>
      </c>
      <c r="H110" s="1">
        <v>2</v>
      </c>
      <c r="I110" s="1" t="s">
        <v>192</v>
      </c>
      <c r="J110" s="1" t="s">
        <v>192</v>
      </c>
      <c r="K110" s="1" t="s">
        <v>192</v>
      </c>
      <c r="L110" s="1" t="s">
        <v>192</v>
      </c>
      <c r="M110" s="1" t="s">
        <v>192</v>
      </c>
      <c r="N110" s="1" t="s">
        <v>192</v>
      </c>
      <c r="O110" s="1" t="s">
        <v>192</v>
      </c>
      <c r="P110" s="1" t="s">
        <v>192</v>
      </c>
      <c r="Q110" s="1" t="s">
        <v>192</v>
      </c>
      <c r="R110" s="1" t="s">
        <v>192</v>
      </c>
      <c r="S110" s="1" t="s">
        <v>192</v>
      </c>
      <c r="T110" s="1" t="s">
        <v>192</v>
      </c>
      <c r="U110" s="1" t="s">
        <v>192</v>
      </c>
      <c r="V110" s="1" t="s">
        <v>192</v>
      </c>
      <c r="W110" s="1" t="s">
        <v>192</v>
      </c>
      <c r="X110" s="1" t="s">
        <v>192</v>
      </c>
      <c r="Y110" s="1" t="s">
        <v>192</v>
      </c>
      <c r="Z110" s="1" t="s">
        <v>192</v>
      </c>
      <c r="AA110" s="1" t="s">
        <v>192</v>
      </c>
      <c r="AB110" s="1" t="s">
        <v>192</v>
      </c>
      <c r="AC110" s="1" t="s">
        <v>192</v>
      </c>
      <c r="AD110" s="1" t="s">
        <v>192</v>
      </c>
      <c r="AE110" s="1" t="s">
        <v>192</v>
      </c>
      <c r="AF110" s="1" t="s">
        <v>192</v>
      </c>
      <c r="AG110" s="1" t="s">
        <v>192</v>
      </c>
      <c r="AH110" s="1" t="s">
        <v>192</v>
      </c>
      <c r="AI110" s="1" t="s">
        <v>192</v>
      </c>
      <c r="AJ110" s="1" t="s">
        <v>192</v>
      </c>
      <c r="AK110" s="1" t="s">
        <v>192</v>
      </c>
      <c r="AL110" s="1" t="s">
        <v>192</v>
      </c>
      <c r="AM110" s="1" t="s">
        <v>192</v>
      </c>
      <c r="AN110" s="1" t="s">
        <v>192</v>
      </c>
      <c r="AO110" s="1" t="s">
        <v>192</v>
      </c>
      <c r="AP110" s="1" t="s">
        <v>192</v>
      </c>
      <c r="AQ110" s="1" t="s">
        <v>192</v>
      </c>
      <c r="AR110" s="1" t="s">
        <v>192</v>
      </c>
      <c r="AS110" s="1" t="s">
        <v>192</v>
      </c>
      <c r="AT110" s="1" t="s">
        <v>192</v>
      </c>
      <c r="AU110" s="1" t="s">
        <v>192</v>
      </c>
      <c r="AV110" s="1" t="s">
        <v>192</v>
      </c>
      <c r="AW110" s="1" t="s">
        <v>192</v>
      </c>
      <c r="AX110" s="1" t="s">
        <v>192</v>
      </c>
      <c r="AY110" s="1" t="s">
        <v>192</v>
      </c>
      <c r="AZ110" s="1" t="s">
        <v>192</v>
      </c>
      <c r="BA110" s="1" t="s">
        <v>192</v>
      </c>
      <c r="BB110" s="1" t="s">
        <v>192</v>
      </c>
      <c r="BC110" s="1" t="s">
        <v>192</v>
      </c>
      <c r="BD110" s="1" t="s">
        <v>192</v>
      </c>
      <c r="BE110" s="1" t="s">
        <v>192</v>
      </c>
      <c r="BF110" s="1" t="s">
        <v>192</v>
      </c>
      <c r="BG110" s="1" t="s">
        <v>192</v>
      </c>
      <c r="BH110" s="1" t="s">
        <v>192</v>
      </c>
      <c r="BI110" s="1" t="s">
        <v>192</v>
      </c>
      <c r="BJ110" s="1" t="s">
        <v>192</v>
      </c>
      <c r="BK110" s="1" t="s">
        <v>192</v>
      </c>
      <c r="BL110" s="1" t="s">
        <v>192</v>
      </c>
      <c r="BM110" s="1" t="s">
        <v>192</v>
      </c>
      <c r="BN110" s="1" t="s">
        <v>192</v>
      </c>
      <c r="BO110" s="1" t="s">
        <v>192</v>
      </c>
      <c r="BP110" s="1" t="s">
        <v>192</v>
      </c>
      <c r="BQ110" s="1" t="s">
        <v>192</v>
      </c>
      <c r="BR110" s="1" t="s">
        <v>192</v>
      </c>
      <c r="BS110" s="1" t="s">
        <v>192</v>
      </c>
      <c r="BT110" s="1" t="s">
        <v>192</v>
      </c>
      <c r="BU110" s="1" t="s">
        <v>192</v>
      </c>
      <c r="BV110" s="1" t="s">
        <v>192</v>
      </c>
      <c r="BW110" s="1" t="s">
        <v>192</v>
      </c>
      <c r="BX110" s="1" t="s">
        <v>192</v>
      </c>
      <c r="BY110" s="1" t="s">
        <v>192</v>
      </c>
      <c r="BZ110" s="1" t="s">
        <v>192</v>
      </c>
      <c r="CA110" s="1" t="s">
        <v>192</v>
      </c>
      <c r="CB110" s="1" t="s">
        <v>192</v>
      </c>
      <c r="CC110" s="1" t="s">
        <v>192</v>
      </c>
      <c r="CD110" s="1" t="s">
        <v>192</v>
      </c>
      <c r="CE110" s="1" t="s">
        <v>192</v>
      </c>
      <c r="CF110" s="1" t="s">
        <v>192</v>
      </c>
      <c r="CG110" s="1">
        <v>3</v>
      </c>
      <c r="CH110" s="1" t="s">
        <v>192</v>
      </c>
      <c r="CI110" s="1" t="s">
        <v>192</v>
      </c>
      <c r="CJ110" s="1" t="s">
        <v>192</v>
      </c>
      <c r="CK110" s="1" t="s">
        <v>192</v>
      </c>
      <c r="CL110" s="1" t="s">
        <v>192</v>
      </c>
      <c r="CM110" s="1" t="s">
        <v>192</v>
      </c>
      <c r="CN110" s="1" t="s">
        <v>192</v>
      </c>
      <c r="CO110" s="1" t="s">
        <v>192</v>
      </c>
      <c r="CP110" s="1" t="s">
        <v>192</v>
      </c>
      <c r="CQ110" s="1" t="s">
        <v>192</v>
      </c>
      <c r="CR110" s="1" t="s">
        <v>192</v>
      </c>
      <c r="CS110" s="1" t="s">
        <v>192</v>
      </c>
      <c r="CT110" s="1">
        <f>SUM(Table7[[#This Row],[Acyl_amino_acids]:[T3PKS]])</f>
        <v>5</v>
      </c>
      <c r="CU110" s="1" t="s">
        <v>192</v>
      </c>
      <c r="CW110" s="1" t="str">
        <f>Table7[[#This Row],[NRPS]]</f>
        <v>-</v>
      </c>
      <c r="CX110" s="1">
        <f>SUM(CP110,CR110,CS110,Table7[[#This Row],[T1PKS, T3PKS]])</f>
        <v>0</v>
      </c>
      <c r="CY110" s="1">
        <f t="shared" si="1"/>
        <v>0</v>
      </c>
      <c r="CZ110" s="1">
        <f>Table7[[#This Row],[Terpene]]</f>
        <v>3</v>
      </c>
      <c r="DA110" s="1">
        <f>SUM(Table7[[#This Row],[Thiopeptide]],BH110,BF110,BE110,BC110,AZ110,AX110,AW110,AJ110,AH110,N110,L110,J110,H110,I110,K110,R110,Q110,Table7[[#This Row],[Cyanobactin, LAP]])</f>
        <v>2</v>
      </c>
      <c r="DB110" s="1">
        <f>SUM(CO110,CN110,CL110,CK110,CJ110,CI110,CH110,CF110,CE110,CD110,CB110,CA110,BZ110,BY110,BX110,BW110,BV110,BT110,BR110,BQ110,BP110,BO110,BM110,BK110,BJ110,BI110,BG110,BD110,BB110,BA110,AY110,AV110,AU110,AT110,AS110,AR110,AQ110,AP110,AO110,AN110,AM110,AL110,AK110,AG110,AF110,AE110,AD110,AC110,AB110,AA110,Z110,Y110,X110,W110,V110,U110,T110,S110,P110,O110,M110,Table7[[#This Row],[Acyl_amino_acids]],E110,F110,G110,)</f>
        <v>0</v>
      </c>
    </row>
    <row r="111" spans="1:106" x14ac:dyDescent="0.25">
      <c r="A111" s="9" t="s">
        <v>690</v>
      </c>
      <c r="B111" s="1" t="s">
        <v>435</v>
      </c>
      <c r="C111" s="1" t="s">
        <v>350</v>
      </c>
      <c r="D111" s="1" t="s">
        <v>192</v>
      </c>
      <c r="E111" s="1" t="s">
        <v>192</v>
      </c>
      <c r="F111" s="1" t="s">
        <v>192</v>
      </c>
      <c r="G111" s="1" t="s">
        <v>192</v>
      </c>
      <c r="H111" s="1">
        <v>1</v>
      </c>
      <c r="I111" s="1" t="s">
        <v>192</v>
      </c>
      <c r="J111" s="1" t="s">
        <v>192</v>
      </c>
      <c r="K111" s="1" t="s">
        <v>192</v>
      </c>
      <c r="L111" s="1" t="s">
        <v>192</v>
      </c>
      <c r="M111" s="1" t="s">
        <v>192</v>
      </c>
      <c r="N111" s="1" t="s">
        <v>192</v>
      </c>
      <c r="O111" s="1" t="s">
        <v>192</v>
      </c>
      <c r="P111" s="1" t="s">
        <v>192</v>
      </c>
      <c r="Q111" s="1" t="s">
        <v>192</v>
      </c>
      <c r="R111" s="1" t="s">
        <v>192</v>
      </c>
      <c r="S111" s="1" t="s">
        <v>192</v>
      </c>
      <c r="T111" s="1" t="s">
        <v>192</v>
      </c>
      <c r="U111" s="1" t="s">
        <v>192</v>
      </c>
      <c r="V111" s="1" t="s">
        <v>192</v>
      </c>
      <c r="W111" s="1" t="s">
        <v>192</v>
      </c>
      <c r="X111" s="1" t="s">
        <v>192</v>
      </c>
      <c r="Y111" s="1" t="s">
        <v>192</v>
      </c>
      <c r="Z111" s="1" t="s">
        <v>192</v>
      </c>
      <c r="AA111" s="1" t="s">
        <v>192</v>
      </c>
      <c r="AB111" s="1" t="s">
        <v>192</v>
      </c>
      <c r="AC111" s="1" t="s">
        <v>192</v>
      </c>
      <c r="AD111" s="1" t="s">
        <v>192</v>
      </c>
      <c r="AE111" s="1" t="s">
        <v>192</v>
      </c>
      <c r="AF111" s="1" t="s">
        <v>192</v>
      </c>
      <c r="AG111" s="1" t="s">
        <v>192</v>
      </c>
      <c r="AH111" s="1" t="s">
        <v>192</v>
      </c>
      <c r="AI111" s="1" t="s">
        <v>192</v>
      </c>
      <c r="AJ111" s="1" t="s">
        <v>192</v>
      </c>
      <c r="AK111" s="1" t="s">
        <v>192</v>
      </c>
      <c r="AL111" s="1" t="s">
        <v>192</v>
      </c>
      <c r="AM111" s="1" t="s">
        <v>192</v>
      </c>
      <c r="AN111" s="1" t="s">
        <v>192</v>
      </c>
      <c r="AO111" s="1" t="s">
        <v>192</v>
      </c>
      <c r="AP111" s="1" t="s">
        <v>192</v>
      </c>
      <c r="AQ111" s="1" t="s">
        <v>192</v>
      </c>
      <c r="AR111" s="1" t="s">
        <v>192</v>
      </c>
      <c r="AS111" s="1" t="s">
        <v>192</v>
      </c>
      <c r="AT111" s="1" t="s">
        <v>192</v>
      </c>
      <c r="AU111" s="1" t="s">
        <v>192</v>
      </c>
      <c r="AV111" s="1" t="s">
        <v>192</v>
      </c>
      <c r="AW111" s="1" t="s">
        <v>192</v>
      </c>
      <c r="AX111" s="1" t="s">
        <v>192</v>
      </c>
      <c r="AY111" s="1" t="s">
        <v>192</v>
      </c>
      <c r="AZ111" s="1" t="s">
        <v>192</v>
      </c>
      <c r="BA111" s="1" t="s">
        <v>192</v>
      </c>
      <c r="BB111" s="1" t="s">
        <v>192</v>
      </c>
      <c r="BC111" s="1" t="s">
        <v>192</v>
      </c>
      <c r="BD111" s="1" t="s">
        <v>192</v>
      </c>
      <c r="BE111" s="1" t="s">
        <v>192</v>
      </c>
      <c r="BF111" s="1" t="s">
        <v>192</v>
      </c>
      <c r="BG111" s="1" t="s">
        <v>192</v>
      </c>
      <c r="BH111" s="1" t="s">
        <v>192</v>
      </c>
      <c r="BI111" s="1" t="s">
        <v>192</v>
      </c>
      <c r="BJ111" s="1" t="s">
        <v>192</v>
      </c>
      <c r="BK111" s="1" t="s">
        <v>192</v>
      </c>
      <c r="BL111" s="1" t="s">
        <v>192</v>
      </c>
      <c r="BM111" s="1" t="s">
        <v>192</v>
      </c>
      <c r="BN111" s="1" t="s">
        <v>192</v>
      </c>
      <c r="BO111" s="1" t="s">
        <v>192</v>
      </c>
      <c r="BP111" s="1" t="s">
        <v>192</v>
      </c>
      <c r="BQ111" s="1" t="s">
        <v>192</v>
      </c>
      <c r="BR111" s="1" t="s">
        <v>192</v>
      </c>
      <c r="BS111" s="1" t="s">
        <v>192</v>
      </c>
      <c r="BT111" s="1" t="s">
        <v>192</v>
      </c>
      <c r="BU111" s="1" t="s">
        <v>192</v>
      </c>
      <c r="BV111" s="1" t="s">
        <v>192</v>
      </c>
      <c r="BW111" s="1" t="s">
        <v>192</v>
      </c>
      <c r="BX111" s="1" t="s">
        <v>192</v>
      </c>
      <c r="BY111" s="1" t="s">
        <v>192</v>
      </c>
      <c r="BZ111" s="1" t="s">
        <v>192</v>
      </c>
      <c r="CA111" s="1" t="s">
        <v>192</v>
      </c>
      <c r="CB111" s="1" t="s">
        <v>192</v>
      </c>
      <c r="CC111" s="1" t="s">
        <v>192</v>
      </c>
      <c r="CD111" s="1" t="s">
        <v>192</v>
      </c>
      <c r="CE111" s="1" t="s">
        <v>192</v>
      </c>
      <c r="CF111" s="1" t="s">
        <v>192</v>
      </c>
      <c r="CG111" s="1">
        <v>3</v>
      </c>
      <c r="CH111" s="1" t="s">
        <v>192</v>
      </c>
      <c r="CI111" s="1" t="s">
        <v>192</v>
      </c>
      <c r="CJ111" s="1" t="s">
        <v>192</v>
      </c>
      <c r="CK111" s="1" t="s">
        <v>192</v>
      </c>
      <c r="CL111" s="1" t="s">
        <v>192</v>
      </c>
      <c r="CM111" s="1" t="s">
        <v>192</v>
      </c>
      <c r="CN111" s="1" t="s">
        <v>192</v>
      </c>
      <c r="CO111" s="1" t="s">
        <v>192</v>
      </c>
      <c r="CP111" s="1" t="s">
        <v>192</v>
      </c>
      <c r="CQ111" s="1" t="s">
        <v>192</v>
      </c>
      <c r="CR111" s="1" t="s">
        <v>192</v>
      </c>
      <c r="CS111" s="1" t="s">
        <v>192</v>
      </c>
      <c r="CT111" s="1">
        <f>SUM(Table7[[#This Row],[Acyl_amino_acids]:[T3PKS]])</f>
        <v>4</v>
      </c>
      <c r="CU111" s="1" t="s">
        <v>192</v>
      </c>
      <c r="CW111" s="1" t="str">
        <f>Table7[[#This Row],[NRPS]]</f>
        <v>-</v>
      </c>
      <c r="CX111" s="1">
        <f>SUM(CP111,CR111,CS111,Table7[[#This Row],[T1PKS, T3PKS]])</f>
        <v>0</v>
      </c>
      <c r="CY111" s="1">
        <f t="shared" si="1"/>
        <v>0</v>
      </c>
      <c r="CZ111" s="1">
        <f>Table7[[#This Row],[Terpene]]</f>
        <v>3</v>
      </c>
      <c r="DA111" s="1">
        <f>SUM(Table7[[#This Row],[Thiopeptide]],BH111,BF111,BE111,BC111,AZ111,AX111,AW111,AJ111,AH111,N111,L111,J111,H111,I111,K111,R111,Q111,Table7[[#This Row],[Cyanobactin, LAP]])</f>
        <v>1</v>
      </c>
      <c r="DB111" s="1">
        <f>SUM(CO111,CN111,CL111,CK111,CJ111,CI111,CH111,CF111,CE111,CD111,CB111,CA111,BZ111,BY111,BX111,BW111,BV111,BT111,BR111,BQ111,BP111,BO111,BM111,BK111,BJ111,BI111,BG111,BD111,BB111,BA111,AY111,AV111,AU111,AT111,AS111,AR111,AQ111,AP111,AO111,AN111,AM111,AL111,AK111,AG111,AF111,AE111,AD111,AC111,AB111,AA111,Z111,Y111,X111,W111,V111,U111,T111,S111,P111,O111,M111,Table7[[#This Row],[Acyl_amino_acids]],E111,F111,G111,)</f>
        <v>0</v>
      </c>
    </row>
    <row r="112" spans="1:106" x14ac:dyDescent="0.25">
      <c r="A112" s="9" t="s">
        <v>689</v>
      </c>
      <c r="B112" s="1" t="s">
        <v>435</v>
      </c>
      <c r="C112" s="1" t="s">
        <v>454</v>
      </c>
      <c r="D112" s="1" t="s">
        <v>192</v>
      </c>
      <c r="E112" s="1" t="s">
        <v>192</v>
      </c>
      <c r="F112" s="1" t="s">
        <v>192</v>
      </c>
      <c r="G112" s="1" t="s">
        <v>192</v>
      </c>
      <c r="H112" s="1">
        <v>16</v>
      </c>
      <c r="I112" s="1" t="s">
        <v>192</v>
      </c>
      <c r="J112" s="1" t="s">
        <v>192</v>
      </c>
      <c r="K112" s="1" t="s">
        <v>192</v>
      </c>
      <c r="L112" s="1" t="s">
        <v>192</v>
      </c>
      <c r="M112" s="1" t="s">
        <v>192</v>
      </c>
      <c r="N112" s="1" t="s">
        <v>192</v>
      </c>
      <c r="O112" s="1" t="s">
        <v>192</v>
      </c>
      <c r="P112" s="1" t="s">
        <v>192</v>
      </c>
      <c r="Q112" s="1" t="s">
        <v>192</v>
      </c>
      <c r="R112" s="1" t="s">
        <v>192</v>
      </c>
      <c r="S112" s="1" t="s">
        <v>192</v>
      </c>
      <c r="T112" s="1" t="s">
        <v>192</v>
      </c>
      <c r="U112" s="1" t="s">
        <v>192</v>
      </c>
      <c r="V112" s="1">
        <v>2</v>
      </c>
      <c r="W112" s="1" t="s">
        <v>192</v>
      </c>
      <c r="X112" s="1">
        <v>1</v>
      </c>
      <c r="Y112" s="1" t="s">
        <v>192</v>
      </c>
      <c r="Z112" s="1" t="s">
        <v>192</v>
      </c>
      <c r="AA112" s="1" t="s">
        <v>192</v>
      </c>
      <c r="AB112" s="1" t="s">
        <v>192</v>
      </c>
      <c r="AC112" s="1" t="s">
        <v>192</v>
      </c>
      <c r="AD112" s="1" t="s">
        <v>192</v>
      </c>
      <c r="AE112" s="1" t="s">
        <v>192</v>
      </c>
      <c r="AF112" s="1" t="s">
        <v>192</v>
      </c>
      <c r="AG112" s="1" t="s">
        <v>192</v>
      </c>
      <c r="AH112" s="1" t="s">
        <v>192</v>
      </c>
      <c r="AI112" s="1" t="s">
        <v>192</v>
      </c>
      <c r="AJ112" s="1" t="s">
        <v>192</v>
      </c>
      <c r="AK112" s="1" t="s">
        <v>192</v>
      </c>
      <c r="AL112" s="1" t="s">
        <v>192</v>
      </c>
      <c r="AM112" s="1" t="s">
        <v>192</v>
      </c>
      <c r="AN112" s="1" t="s">
        <v>192</v>
      </c>
      <c r="AO112" s="1" t="s">
        <v>192</v>
      </c>
      <c r="AP112" s="1" t="s">
        <v>192</v>
      </c>
      <c r="AQ112" s="1" t="s">
        <v>192</v>
      </c>
      <c r="AR112" s="1" t="s">
        <v>192</v>
      </c>
      <c r="AS112" s="1" t="s">
        <v>192</v>
      </c>
      <c r="AT112" s="1" t="s">
        <v>192</v>
      </c>
      <c r="AU112" s="1" t="s">
        <v>192</v>
      </c>
      <c r="AV112" s="1" t="s">
        <v>192</v>
      </c>
      <c r="AW112" s="1" t="s">
        <v>192</v>
      </c>
      <c r="AX112" s="1" t="s">
        <v>192</v>
      </c>
      <c r="AY112" s="1" t="s">
        <v>192</v>
      </c>
      <c r="AZ112" s="1">
        <v>1</v>
      </c>
      <c r="BA112" s="1" t="s">
        <v>192</v>
      </c>
      <c r="BB112" s="1" t="s">
        <v>192</v>
      </c>
      <c r="BC112" s="1" t="s">
        <v>192</v>
      </c>
      <c r="BD112" s="1" t="s">
        <v>192</v>
      </c>
      <c r="BE112" s="1" t="s">
        <v>192</v>
      </c>
      <c r="BF112" s="1" t="s">
        <v>192</v>
      </c>
      <c r="BG112" s="1" t="s">
        <v>192</v>
      </c>
      <c r="BH112" s="1" t="s">
        <v>192</v>
      </c>
      <c r="BI112" s="1" t="s">
        <v>192</v>
      </c>
      <c r="BJ112" s="1" t="s">
        <v>192</v>
      </c>
      <c r="BK112" s="1" t="s">
        <v>192</v>
      </c>
      <c r="BL112" s="1">
        <v>1</v>
      </c>
      <c r="BM112" s="1" t="s">
        <v>192</v>
      </c>
      <c r="BN112" s="1" t="s">
        <v>192</v>
      </c>
      <c r="BO112" s="1" t="s">
        <v>192</v>
      </c>
      <c r="BP112" s="1" t="s">
        <v>192</v>
      </c>
      <c r="BQ112" s="1" t="s">
        <v>192</v>
      </c>
      <c r="BR112" s="1" t="s">
        <v>192</v>
      </c>
      <c r="BS112" s="1" t="s">
        <v>192</v>
      </c>
      <c r="BT112" s="1" t="s">
        <v>192</v>
      </c>
      <c r="BU112" s="1" t="s">
        <v>192</v>
      </c>
      <c r="BV112" s="1" t="s">
        <v>192</v>
      </c>
      <c r="BW112" s="1" t="s">
        <v>192</v>
      </c>
      <c r="BX112" s="1" t="s">
        <v>192</v>
      </c>
      <c r="BY112" s="1" t="s">
        <v>192</v>
      </c>
      <c r="BZ112" s="1" t="s">
        <v>192</v>
      </c>
      <c r="CA112" s="1" t="s">
        <v>192</v>
      </c>
      <c r="CB112" s="1" t="s">
        <v>192</v>
      </c>
      <c r="CC112" s="1" t="s">
        <v>192</v>
      </c>
      <c r="CD112" s="1" t="s">
        <v>192</v>
      </c>
      <c r="CE112" s="1" t="s">
        <v>192</v>
      </c>
      <c r="CF112" s="1" t="s">
        <v>192</v>
      </c>
      <c r="CG112" s="1">
        <v>1</v>
      </c>
      <c r="CH112" s="1" t="s">
        <v>192</v>
      </c>
      <c r="CI112" s="1" t="s">
        <v>192</v>
      </c>
      <c r="CJ112" s="1" t="s">
        <v>192</v>
      </c>
      <c r="CK112" s="1" t="s">
        <v>192</v>
      </c>
      <c r="CL112" s="1" t="s">
        <v>192</v>
      </c>
      <c r="CM112" s="1" t="s">
        <v>192</v>
      </c>
      <c r="CN112" s="1" t="s">
        <v>192</v>
      </c>
      <c r="CO112" s="1" t="s">
        <v>192</v>
      </c>
      <c r="CP112" s="1" t="s">
        <v>192</v>
      </c>
      <c r="CQ112" s="1" t="s">
        <v>192</v>
      </c>
      <c r="CR112" s="1" t="s">
        <v>192</v>
      </c>
      <c r="CS112" s="1" t="s">
        <v>192</v>
      </c>
      <c r="CT112" s="1">
        <f>SUM(Table7[[#This Row],[Acyl_amino_acids]:[T3PKS]])</f>
        <v>22</v>
      </c>
      <c r="CU112" s="1" t="s">
        <v>192</v>
      </c>
      <c r="CW112" s="1">
        <f>Table7[[#This Row],[NRPS]]</f>
        <v>1</v>
      </c>
      <c r="CX112" s="1">
        <f>SUM(CP112,CR112,CS112,Table7[[#This Row],[T1PKS, T3PKS]])</f>
        <v>0</v>
      </c>
      <c r="CY112" s="1">
        <f t="shared" si="1"/>
        <v>0</v>
      </c>
      <c r="CZ112" s="1">
        <f>Table7[[#This Row],[Terpene]]</f>
        <v>1</v>
      </c>
      <c r="DA112" s="1">
        <f>SUM(Table7[[#This Row],[Thiopeptide]],BH112,BF112,BE112,BC112,AZ112,AX112,AW112,AJ112,AH112,N112,L112,J112,H112,I112,K112,R112,Q112,Table7[[#This Row],[Cyanobactin, LAP]])</f>
        <v>17</v>
      </c>
      <c r="DB112" s="1">
        <f>SUM(CO112,CN112,CL112,CK112,CJ112,CI112,CH112,CF112,CE112,CD112,CB112,CA112,BZ112,BY112,BX112,BW112,BV112,BT112,BR112,BQ112,BP112,BO112,BM112,BK112,BJ112,BI112,BG112,BD112,BB112,BA112,AY112,AV112,AU112,AT112,AS112,AR112,AQ112,AP112,AO112,AN112,AM112,AL112,AK112,AG112,AF112,AE112,AD112,AC112,AB112,AA112,Z112,Y112,X112,W112,V112,U112,T112,S112,P112,O112,M112,Table7[[#This Row],[Acyl_amino_acids]],E112,F112,G112,)</f>
        <v>3</v>
      </c>
    </row>
    <row r="113" spans="1:106" x14ac:dyDescent="0.25">
      <c r="A113" s="9" t="s">
        <v>680</v>
      </c>
      <c r="B113" s="1" t="s">
        <v>435</v>
      </c>
      <c r="C113" s="1" t="s">
        <v>449</v>
      </c>
      <c r="D113" s="1" t="s">
        <v>192</v>
      </c>
      <c r="E113" s="1" t="s">
        <v>192</v>
      </c>
      <c r="F113" s="1" t="s">
        <v>192</v>
      </c>
      <c r="G113" s="1" t="s">
        <v>192</v>
      </c>
      <c r="H113" s="1">
        <v>1</v>
      </c>
      <c r="I113" s="1" t="s">
        <v>192</v>
      </c>
      <c r="J113" s="1" t="s">
        <v>192</v>
      </c>
      <c r="K113" s="1" t="s">
        <v>192</v>
      </c>
      <c r="L113" s="1" t="s">
        <v>192</v>
      </c>
      <c r="M113" s="1" t="s">
        <v>192</v>
      </c>
      <c r="N113" s="1" t="s">
        <v>192</v>
      </c>
      <c r="O113" s="1" t="s">
        <v>192</v>
      </c>
      <c r="P113" s="1" t="s">
        <v>192</v>
      </c>
      <c r="Q113" s="1" t="s">
        <v>192</v>
      </c>
      <c r="R113" s="1" t="s">
        <v>192</v>
      </c>
      <c r="S113" s="1" t="s">
        <v>192</v>
      </c>
      <c r="T113" s="1" t="s">
        <v>192</v>
      </c>
      <c r="U113" s="1" t="s">
        <v>192</v>
      </c>
      <c r="V113" s="1" t="s">
        <v>192</v>
      </c>
      <c r="W113" s="1" t="s">
        <v>192</v>
      </c>
      <c r="X113" s="1" t="s">
        <v>192</v>
      </c>
      <c r="Y113" s="1" t="s">
        <v>192</v>
      </c>
      <c r="Z113" s="1" t="s">
        <v>192</v>
      </c>
      <c r="AA113" s="1" t="s">
        <v>192</v>
      </c>
      <c r="AB113" s="1" t="s">
        <v>192</v>
      </c>
      <c r="AC113" s="1" t="s">
        <v>192</v>
      </c>
      <c r="AD113" s="1" t="s">
        <v>192</v>
      </c>
      <c r="AE113" s="1" t="s">
        <v>192</v>
      </c>
      <c r="AF113" s="1" t="s">
        <v>192</v>
      </c>
      <c r="AG113" s="1" t="s">
        <v>192</v>
      </c>
      <c r="AH113" s="1" t="s">
        <v>192</v>
      </c>
      <c r="AI113" s="1" t="s">
        <v>192</v>
      </c>
      <c r="AJ113" s="1" t="s">
        <v>192</v>
      </c>
      <c r="AK113" s="1" t="s">
        <v>192</v>
      </c>
      <c r="AL113" s="1" t="s">
        <v>192</v>
      </c>
      <c r="AM113" s="1" t="s">
        <v>192</v>
      </c>
      <c r="AN113" s="1" t="s">
        <v>192</v>
      </c>
      <c r="AO113" s="1" t="s">
        <v>192</v>
      </c>
      <c r="AP113" s="1" t="s">
        <v>192</v>
      </c>
      <c r="AQ113" s="1" t="s">
        <v>192</v>
      </c>
      <c r="AR113" s="1" t="s">
        <v>192</v>
      </c>
      <c r="AS113" s="1" t="s">
        <v>192</v>
      </c>
      <c r="AT113" s="1" t="s">
        <v>192</v>
      </c>
      <c r="AU113" s="1" t="s">
        <v>192</v>
      </c>
      <c r="AV113" s="1" t="s">
        <v>192</v>
      </c>
      <c r="AW113" s="1" t="s">
        <v>192</v>
      </c>
      <c r="AX113" s="1" t="s">
        <v>192</v>
      </c>
      <c r="AY113" s="1" t="s">
        <v>192</v>
      </c>
      <c r="AZ113" s="1" t="s">
        <v>192</v>
      </c>
      <c r="BA113" s="1" t="s">
        <v>192</v>
      </c>
      <c r="BB113" s="1" t="s">
        <v>192</v>
      </c>
      <c r="BC113" s="1" t="s">
        <v>192</v>
      </c>
      <c r="BD113" s="1" t="s">
        <v>192</v>
      </c>
      <c r="BE113" s="1" t="s">
        <v>192</v>
      </c>
      <c r="BF113" s="1" t="s">
        <v>192</v>
      </c>
      <c r="BG113" s="1" t="s">
        <v>192</v>
      </c>
      <c r="BH113" s="1" t="s">
        <v>192</v>
      </c>
      <c r="BI113" s="1" t="s">
        <v>192</v>
      </c>
      <c r="BJ113" s="1" t="s">
        <v>192</v>
      </c>
      <c r="BK113" s="1" t="s">
        <v>192</v>
      </c>
      <c r="BL113" s="1" t="s">
        <v>192</v>
      </c>
      <c r="BM113" s="1" t="s">
        <v>192</v>
      </c>
      <c r="BN113" s="1" t="s">
        <v>192</v>
      </c>
      <c r="BO113" s="1" t="s">
        <v>192</v>
      </c>
      <c r="BP113" s="1" t="s">
        <v>192</v>
      </c>
      <c r="BQ113" s="1" t="s">
        <v>192</v>
      </c>
      <c r="BR113" s="1" t="s">
        <v>192</v>
      </c>
      <c r="BS113" s="1" t="s">
        <v>192</v>
      </c>
      <c r="BT113" s="1" t="s">
        <v>192</v>
      </c>
      <c r="BU113" s="1" t="s">
        <v>192</v>
      </c>
      <c r="BV113" s="1" t="s">
        <v>192</v>
      </c>
      <c r="BW113" s="1" t="s">
        <v>192</v>
      </c>
      <c r="BX113" s="1" t="s">
        <v>192</v>
      </c>
      <c r="BY113" s="1" t="s">
        <v>192</v>
      </c>
      <c r="BZ113" s="1" t="s">
        <v>192</v>
      </c>
      <c r="CA113" s="1" t="s">
        <v>192</v>
      </c>
      <c r="CB113" s="1" t="s">
        <v>192</v>
      </c>
      <c r="CC113" s="1" t="s">
        <v>192</v>
      </c>
      <c r="CD113" s="1" t="s">
        <v>192</v>
      </c>
      <c r="CE113" s="1" t="s">
        <v>192</v>
      </c>
      <c r="CF113" s="1" t="s">
        <v>192</v>
      </c>
      <c r="CG113" s="1">
        <v>3</v>
      </c>
      <c r="CH113" s="1" t="s">
        <v>192</v>
      </c>
      <c r="CI113" s="1" t="s">
        <v>192</v>
      </c>
      <c r="CJ113" s="1" t="s">
        <v>192</v>
      </c>
      <c r="CK113" s="1" t="s">
        <v>192</v>
      </c>
      <c r="CL113" s="1" t="s">
        <v>192</v>
      </c>
      <c r="CM113" s="1" t="s">
        <v>192</v>
      </c>
      <c r="CN113" s="1" t="s">
        <v>192</v>
      </c>
      <c r="CO113" s="1" t="s">
        <v>192</v>
      </c>
      <c r="CP113" s="1" t="s">
        <v>192</v>
      </c>
      <c r="CQ113" s="1" t="s">
        <v>192</v>
      </c>
      <c r="CR113" s="1" t="s">
        <v>192</v>
      </c>
      <c r="CS113" s="1" t="s">
        <v>192</v>
      </c>
      <c r="CT113" s="1">
        <f>SUM(Table7[[#This Row],[Acyl_amino_acids]:[T3PKS]])</f>
        <v>4</v>
      </c>
      <c r="CU113" s="1" t="s">
        <v>192</v>
      </c>
      <c r="CW113" s="1" t="str">
        <f>Table7[[#This Row],[NRPS]]</f>
        <v>-</v>
      </c>
      <c r="CX113" s="1">
        <f>SUM(CP113,CR113,CS113,Table7[[#This Row],[T1PKS, T3PKS]])</f>
        <v>0</v>
      </c>
      <c r="CY113" s="1">
        <f t="shared" si="1"/>
        <v>0</v>
      </c>
      <c r="CZ113" s="1">
        <f>Table7[[#This Row],[Terpene]]</f>
        <v>3</v>
      </c>
      <c r="DA113" s="1">
        <f>SUM(Table7[[#This Row],[Thiopeptide]],BH113,BF113,BE113,BC113,AZ113,AX113,AW113,AJ113,AH113,N113,L113,J113,H113,I113,K113,R113,Q113,Table7[[#This Row],[Cyanobactin, LAP]])</f>
        <v>1</v>
      </c>
      <c r="DB113" s="1">
        <f>SUM(CO113,CN113,CL113,CK113,CJ113,CI113,CH113,CF113,CE113,CD113,CB113,CA113,BZ113,BY113,BX113,BW113,BV113,BT113,BR113,BQ113,BP113,BO113,BM113,BK113,BJ113,BI113,BG113,BD113,BB113,BA113,AY113,AV113,AU113,AT113,AS113,AR113,AQ113,AP113,AO113,AN113,AM113,AL113,AK113,AG113,AF113,AE113,AD113,AC113,AB113,AA113,Z113,Y113,X113,W113,V113,U113,T113,S113,P113,O113,M113,Table7[[#This Row],[Acyl_amino_acids]],E113,F113,G113,)</f>
        <v>0</v>
      </c>
    </row>
    <row r="114" spans="1:106" x14ac:dyDescent="0.25">
      <c r="A114" s="9" t="s">
        <v>672</v>
      </c>
      <c r="B114" s="1" t="s">
        <v>435</v>
      </c>
      <c r="C114" s="1" t="s">
        <v>352</v>
      </c>
      <c r="D114" s="1" t="s">
        <v>192</v>
      </c>
      <c r="E114" s="1" t="s">
        <v>192</v>
      </c>
      <c r="F114" s="1" t="s">
        <v>192</v>
      </c>
      <c r="G114" s="1" t="s">
        <v>192</v>
      </c>
      <c r="H114" s="1">
        <v>11</v>
      </c>
      <c r="I114" s="1" t="s">
        <v>192</v>
      </c>
      <c r="J114" s="1" t="s">
        <v>192</v>
      </c>
      <c r="K114" s="1" t="s">
        <v>192</v>
      </c>
      <c r="L114" s="1">
        <v>1</v>
      </c>
      <c r="M114" s="1" t="s">
        <v>192</v>
      </c>
      <c r="N114" s="1" t="s">
        <v>192</v>
      </c>
      <c r="O114" s="1" t="s">
        <v>192</v>
      </c>
      <c r="P114" s="1" t="s">
        <v>192</v>
      </c>
      <c r="Q114" s="1" t="s">
        <v>192</v>
      </c>
      <c r="R114" s="1" t="s">
        <v>192</v>
      </c>
      <c r="S114" s="1" t="s">
        <v>192</v>
      </c>
      <c r="T114" s="1" t="s">
        <v>192</v>
      </c>
      <c r="U114" s="1" t="s">
        <v>192</v>
      </c>
      <c r="V114" s="1">
        <v>1</v>
      </c>
      <c r="W114" s="1" t="s">
        <v>192</v>
      </c>
      <c r="X114" s="1">
        <v>1</v>
      </c>
      <c r="Y114" s="1" t="s">
        <v>192</v>
      </c>
      <c r="Z114" s="1" t="s">
        <v>192</v>
      </c>
      <c r="AA114" s="1" t="s">
        <v>192</v>
      </c>
      <c r="AB114" s="1" t="s">
        <v>192</v>
      </c>
      <c r="AC114" s="1" t="s">
        <v>192</v>
      </c>
      <c r="AD114" s="1" t="s">
        <v>192</v>
      </c>
      <c r="AE114" s="1" t="s">
        <v>192</v>
      </c>
      <c r="AF114" s="1" t="s">
        <v>192</v>
      </c>
      <c r="AG114" s="1" t="s">
        <v>192</v>
      </c>
      <c r="AH114" s="1" t="s">
        <v>192</v>
      </c>
      <c r="AI114" s="1" t="s">
        <v>192</v>
      </c>
      <c r="AJ114" s="1" t="s">
        <v>192</v>
      </c>
      <c r="AK114" s="1" t="s">
        <v>192</v>
      </c>
      <c r="AL114" s="1" t="s">
        <v>192</v>
      </c>
      <c r="AM114" s="1" t="s">
        <v>192</v>
      </c>
      <c r="AN114" s="1" t="s">
        <v>192</v>
      </c>
      <c r="AO114" s="1" t="s">
        <v>192</v>
      </c>
      <c r="AP114" s="1" t="s">
        <v>192</v>
      </c>
      <c r="AQ114" s="1" t="s">
        <v>192</v>
      </c>
      <c r="AR114" s="1" t="s">
        <v>192</v>
      </c>
      <c r="AS114" s="1" t="s">
        <v>192</v>
      </c>
      <c r="AT114" s="1" t="s">
        <v>192</v>
      </c>
      <c r="AU114" s="1" t="s">
        <v>192</v>
      </c>
      <c r="AV114" s="1" t="s">
        <v>192</v>
      </c>
      <c r="AW114" s="1" t="s">
        <v>192</v>
      </c>
      <c r="AX114" s="1" t="s">
        <v>192</v>
      </c>
      <c r="AY114" s="1" t="s">
        <v>192</v>
      </c>
      <c r="AZ114" s="1" t="s">
        <v>192</v>
      </c>
      <c r="BA114" s="1" t="s">
        <v>192</v>
      </c>
      <c r="BB114" s="1" t="s">
        <v>192</v>
      </c>
      <c r="BC114" s="1" t="s">
        <v>192</v>
      </c>
      <c r="BD114" s="1" t="s">
        <v>192</v>
      </c>
      <c r="BE114" s="1" t="s">
        <v>192</v>
      </c>
      <c r="BF114" s="1" t="s">
        <v>192</v>
      </c>
      <c r="BG114" s="1" t="s">
        <v>192</v>
      </c>
      <c r="BH114" s="1" t="s">
        <v>192</v>
      </c>
      <c r="BI114" s="1" t="s">
        <v>192</v>
      </c>
      <c r="BJ114" s="1" t="s">
        <v>192</v>
      </c>
      <c r="BK114" s="1" t="s">
        <v>192</v>
      </c>
      <c r="BL114" s="1" t="s">
        <v>192</v>
      </c>
      <c r="BM114" s="1" t="s">
        <v>192</v>
      </c>
      <c r="BN114" s="1" t="s">
        <v>192</v>
      </c>
      <c r="BO114" s="1" t="s">
        <v>192</v>
      </c>
      <c r="BP114" s="1" t="s">
        <v>192</v>
      </c>
      <c r="BQ114" s="1" t="s">
        <v>192</v>
      </c>
      <c r="BR114" s="1" t="s">
        <v>192</v>
      </c>
      <c r="BS114" s="1" t="s">
        <v>192</v>
      </c>
      <c r="BT114" s="1" t="s">
        <v>192</v>
      </c>
      <c r="BU114" s="1" t="s">
        <v>192</v>
      </c>
      <c r="BV114" s="1" t="s">
        <v>192</v>
      </c>
      <c r="BW114" s="1" t="s">
        <v>192</v>
      </c>
      <c r="BX114" s="1" t="s">
        <v>192</v>
      </c>
      <c r="BY114" s="1" t="s">
        <v>192</v>
      </c>
      <c r="BZ114" s="1" t="s">
        <v>192</v>
      </c>
      <c r="CA114" s="1" t="s">
        <v>192</v>
      </c>
      <c r="CB114" s="1" t="s">
        <v>192</v>
      </c>
      <c r="CC114" s="1" t="s">
        <v>192</v>
      </c>
      <c r="CD114" s="1" t="s">
        <v>192</v>
      </c>
      <c r="CE114" s="1" t="s">
        <v>192</v>
      </c>
      <c r="CF114" s="1" t="s">
        <v>192</v>
      </c>
      <c r="CG114" s="1">
        <v>2</v>
      </c>
      <c r="CH114" s="1" t="s">
        <v>192</v>
      </c>
      <c r="CI114" s="1" t="s">
        <v>192</v>
      </c>
      <c r="CJ114" s="1" t="s">
        <v>192</v>
      </c>
      <c r="CK114" s="1" t="s">
        <v>192</v>
      </c>
      <c r="CL114" s="1" t="s">
        <v>192</v>
      </c>
      <c r="CM114" s="1" t="s">
        <v>192</v>
      </c>
      <c r="CN114" s="1" t="s">
        <v>192</v>
      </c>
      <c r="CO114" s="1" t="s">
        <v>192</v>
      </c>
      <c r="CP114" s="1" t="s">
        <v>192</v>
      </c>
      <c r="CQ114" s="1" t="s">
        <v>192</v>
      </c>
      <c r="CR114" s="1" t="s">
        <v>192</v>
      </c>
      <c r="CS114" s="1" t="s">
        <v>192</v>
      </c>
      <c r="CT114" s="1">
        <f>SUM(Table7[[#This Row],[Acyl_amino_acids]:[T3PKS]])</f>
        <v>16</v>
      </c>
      <c r="CU114" s="1" t="s">
        <v>192</v>
      </c>
      <c r="CW114" s="1" t="str">
        <f>Table7[[#This Row],[NRPS]]</f>
        <v>-</v>
      </c>
      <c r="CX114" s="1">
        <f>SUM(CP114,CR114,CS114,Table7[[#This Row],[T1PKS, T3PKS]])</f>
        <v>0</v>
      </c>
      <c r="CY114" s="1">
        <f t="shared" si="1"/>
        <v>0</v>
      </c>
      <c r="CZ114" s="1">
        <f>Table7[[#This Row],[Terpene]]</f>
        <v>2</v>
      </c>
      <c r="DA114" s="1">
        <f>SUM(Table7[[#This Row],[Thiopeptide]],BH114,BF114,BE114,BC114,AZ114,AX114,AW114,AJ114,AH114,N114,L114,J114,H114,I114,K114,R114,Q114,Table7[[#This Row],[Cyanobactin, LAP]])</f>
        <v>12</v>
      </c>
      <c r="DB114" s="1">
        <f>SUM(CO114,CN114,CL114,CK114,CJ114,CI114,CH114,CF114,CE114,CD114,CB114,CA114,BZ114,BY114,BX114,BW114,BV114,BT114,BR114,BQ114,BP114,BO114,BM114,BK114,BJ114,BI114,BG114,BD114,BB114,BA114,AY114,AV114,AU114,AT114,AS114,AR114,AQ114,AP114,AO114,AN114,AM114,AL114,AK114,AG114,AF114,AE114,AD114,AC114,AB114,AA114,Z114,Y114,X114,W114,V114,U114,T114,S114,P114,O114,M114,Table7[[#This Row],[Acyl_amino_acids]],E114,F114,G114,)</f>
        <v>2</v>
      </c>
    </row>
    <row r="115" spans="1:106" x14ac:dyDescent="0.25">
      <c r="A115" s="9" t="s">
        <v>687</v>
      </c>
      <c r="B115" s="1" t="s">
        <v>435</v>
      </c>
      <c r="C115" s="1" t="s">
        <v>353</v>
      </c>
      <c r="D115" s="1" t="s">
        <v>192</v>
      </c>
      <c r="E115" s="1" t="s">
        <v>192</v>
      </c>
      <c r="F115" s="1" t="s">
        <v>192</v>
      </c>
      <c r="G115" s="1" t="s">
        <v>192</v>
      </c>
      <c r="H115" s="1">
        <v>2</v>
      </c>
      <c r="I115" s="1" t="s">
        <v>192</v>
      </c>
      <c r="J115" s="1" t="s">
        <v>192</v>
      </c>
      <c r="K115" s="1" t="s">
        <v>192</v>
      </c>
      <c r="L115" s="1" t="s">
        <v>192</v>
      </c>
      <c r="M115" s="1" t="s">
        <v>192</v>
      </c>
      <c r="N115" s="1" t="s">
        <v>192</v>
      </c>
      <c r="O115" s="1" t="s">
        <v>192</v>
      </c>
      <c r="P115" s="1" t="s">
        <v>192</v>
      </c>
      <c r="Q115" s="1" t="s">
        <v>192</v>
      </c>
      <c r="R115" s="1" t="s">
        <v>192</v>
      </c>
      <c r="S115" s="1" t="s">
        <v>192</v>
      </c>
      <c r="T115" s="1" t="s">
        <v>192</v>
      </c>
      <c r="U115" s="1" t="s">
        <v>192</v>
      </c>
      <c r="V115" s="1" t="s">
        <v>192</v>
      </c>
      <c r="W115" s="1" t="s">
        <v>192</v>
      </c>
      <c r="X115" s="1" t="s">
        <v>192</v>
      </c>
      <c r="Y115" s="1" t="s">
        <v>192</v>
      </c>
      <c r="Z115" s="1" t="s">
        <v>192</v>
      </c>
      <c r="AA115" s="1" t="s">
        <v>192</v>
      </c>
      <c r="AB115" s="1" t="s">
        <v>192</v>
      </c>
      <c r="AC115" s="1" t="s">
        <v>192</v>
      </c>
      <c r="AD115" s="1" t="s">
        <v>192</v>
      </c>
      <c r="AE115" s="1" t="s">
        <v>192</v>
      </c>
      <c r="AF115" s="1" t="s">
        <v>192</v>
      </c>
      <c r="AG115" s="1" t="s">
        <v>192</v>
      </c>
      <c r="AH115" s="1" t="s">
        <v>192</v>
      </c>
      <c r="AI115" s="1" t="s">
        <v>192</v>
      </c>
      <c r="AJ115" s="1" t="s">
        <v>192</v>
      </c>
      <c r="AK115" s="1" t="s">
        <v>192</v>
      </c>
      <c r="AL115" s="1" t="s">
        <v>192</v>
      </c>
      <c r="AM115" s="1" t="s">
        <v>192</v>
      </c>
      <c r="AN115" s="1" t="s">
        <v>192</v>
      </c>
      <c r="AO115" s="1" t="s">
        <v>192</v>
      </c>
      <c r="AP115" s="1" t="s">
        <v>192</v>
      </c>
      <c r="AQ115" s="1" t="s">
        <v>192</v>
      </c>
      <c r="AR115" s="1" t="s">
        <v>192</v>
      </c>
      <c r="AS115" s="1" t="s">
        <v>192</v>
      </c>
      <c r="AT115" s="1" t="s">
        <v>192</v>
      </c>
      <c r="AU115" s="1" t="s">
        <v>192</v>
      </c>
      <c r="AV115" s="1" t="s">
        <v>192</v>
      </c>
      <c r="AW115" s="1" t="s">
        <v>192</v>
      </c>
      <c r="AX115" s="1" t="s">
        <v>192</v>
      </c>
      <c r="AY115" s="1" t="s">
        <v>192</v>
      </c>
      <c r="AZ115" s="1" t="s">
        <v>192</v>
      </c>
      <c r="BA115" s="1" t="s">
        <v>192</v>
      </c>
      <c r="BB115" s="1" t="s">
        <v>192</v>
      </c>
      <c r="BC115" s="1" t="s">
        <v>192</v>
      </c>
      <c r="BD115" s="1" t="s">
        <v>192</v>
      </c>
      <c r="BE115" s="1" t="s">
        <v>192</v>
      </c>
      <c r="BF115" s="1" t="s">
        <v>192</v>
      </c>
      <c r="BG115" s="1" t="s">
        <v>192</v>
      </c>
      <c r="BH115" s="1" t="s">
        <v>192</v>
      </c>
      <c r="BI115" s="1" t="s">
        <v>192</v>
      </c>
      <c r="BJ115" s="1" t="s">
        <v>192</v>
      </c>
      <c r="BK115" s="1" t="s">
        <v>192</v>
      </c>
      <c r="BL115" s="1" t="s">
        <v>192</v>
      </c>
      <c r="BM115" s="1" t="s">
        <v>192</v>
      </c>
      <c r="BN115" s="1" t="s">
        <v>192</v>
      </c>
      <c r="BO115" s="1" t="s">
        <v>192</v>
      </c>
      <c r="BP115" s="1" t="s">
        <v>192</v>
      </c>
      <c r="BQ115" s="1" t="s">
        <v>192</v>
      </c>
      <c r="BR115" s="1" t="s">
        <v>192</v>
      </c>
      <c r="BS115" s="1" t="s">
        <v>192</v>
      </c>
      <c r="BT115" s="1" t="s">
        <v>192</v>
      </c>
      <c r="BU115" s="1" t="s">
        <v>192</v>
      </c>
      <c r="BV115" s="1" t="s">
        <v>192</v>
      </c>
      <c r="BW115" s="1" t="s">
        <v>192</v>
      </c>
      <c r="BX115" s="1" t="s">
        <v>192</v>
      </c>
      <c r="BY115" s="1" t="s">
        <v>192</v>
      </c>
      <c r="BZ115" s="1" t="s">
        <v>192</v>
      </c>
      <c r="CA115" s="1" t="s">
        <v>192</v>
      </c>
      <c r="CB115" s="1" t="s">
        <v>192</v>
      </c>
      <c r="CC115" s="1" t="s">
        <v>192</v>
      </c>
      <c r="CD115" s="1" t="s">
        <v>192</v>
      </c>
      <c r="CE115" s="1" t="s">
        <v>192</v>
      </c>
      <c r="CF115" s="1" t="s">
        <v>192</v>
      </c>
      <c r="CG115" s="1">
        <v>3</v>
      </c>
      <c r="CH115" s="1" t="s">
        <v>192</v>
      </c>
      <c r="CI115" s="1" t="s">
        <v>192</v>
      </c>
      <c r="CJ115" s="1" t="s">
        <v>192</v>
      </c>
      <c r="CK115" s="1" t="s">
        <v>192</v>
      </c>
      <c r="CL115" s="1" t="s">
        <v>192</v>
      </c>
      <c r="CM115" s="1" t="s">
        <v>192</v>
      </c>
      <c r="CN115" s="1" t="s">
        <v>192</v>
      </c>
      <c r="CO115" s="1" t="s">
        <v>192</v>
      </c>
      <c r="CP115" s="1" t="s">
        <v>192</v>
      </c>
      <c r="CQ115" s="1" t="s">
        <v>192</v>
      </c>
      <c r="CR115" s="1" t="s">
        <v>192</v>
      </c>
      <c r="CS115" s="1" t="s">
        <v>192</v>
      </c>
      <c r="CT115" s="1">
        <f>SUM(Table7[[#This Row],[Acyl_amino_acids]:[T3PKS]])</f>
        <v>5</v>
      </c>
      <c r="CU115" s="1" t="s">
        <v>192</v>
      </c>
      <c r="CW115" s="1" t="str">
        <f>Table7[[#This Row],[NRPS]]</f>
        <v>-</v>
      </c>
      <c r="CX115" s="1">
        <f>SUM(CP115,CR115,CS115,Table7[[#This Row],[T1PKS, T3PKS]])</f>
        <v>0</v>
      </c>
      <c r="CY115" s="1">
        <f t="shared" si="1"/>
        <v>0</v>
      </c>
      <c r="CZ115" s="1">
        <f>Table7[[#This Row],[Terpene]]</f>
        <v>3</v>
      </c>
      <c r="DA115" s="1">
        <f>SUM(Table7[[#This Row],[Thiopeptide]],BH115,BF115,BE115,BC115,AZ115,AX115,AW115,AJ115,AH115,N115,L115,J115,H115,I115,K115,R115,Q115,Table7[[#This Row],[Cyanobactin, LAP]])</f>
        <v>2</v>
      </c>
      <c r="DB115" s="1">
        <f>SUM(CO115,CN115,CL115,CK115,CJ115,CI115,CH115,CF115,CE115,CD115,CB115,CA115,BZ115,BY115,BX115,BW115,BV115,BT115,BR115,BQ115,BP115,BO115,BM115,BK115,BJ115,BI115,BG115,BD115,BB115,BA115,AY115,AV115,AU115,AT115,AS115,AR115,AQ115,AP115,AO115,AN115,AM115,AL115,AK115,AG115,AF115,AE115,AD115,AC115,AB115,AA115,Z115,Y115,X115,W115,V115,U115,T115,S115,P115,O115,M115,Table7[[#This Row],[Acyl_amino_acids]],E115,F115,G115,)</f>
        <v>0</v>
      </c>
    </row>
    <row r="116" spans="1:106" x14ac:dyDescent="0.25">
      <c r="A116" s="9" t="s">
        <v>688</v>
      </c>
      <c r="B116" s="1" t="s">
        <v>435</v>
      </c>
      <c r="C116" s="1" t="s">
        <v>354</v>
      </c>
      <c r="D116" s="1" t="s">
        <v>192</v>
      </c>
      <c r="E116" s="1" t="s">
        <v>192</v>
      </c>
      <c r="F116" s="1" t="s">
        <v>192</v>
      </c>
      <c r="G116" s="1" t="s">
        <v>192</v>
      </c>
      <c r="H116" s="1">
        <v>2</v>
      </c>
      <c r="I116" s="1" t="s">
        <v>192</v>
      </c>
      <c r="J116" s="1" t="s">
        <v>192</v>
      </c>
      <c r="K116" s="1" t="s">
        <v>192</v>
      </c>
      <c r="L116" s="1" t="s">
        <v>192</v>
      </c>
      <c r="M116" s="1" t="s">
        <v>192</v>
      </c>
      <c r="N116" s="1" t="s">
        <v>192</v>
      </c>
      <c r="O116" s="1" t="s">
        <v>192</v>
      </c>
      <c r="P116" s="1" t="s">
        <v>192</v>
      </c>
      <c r="Q116" s="1" t="s">
        <v>192</v>
      </c>
      <c r="R116" s="1" t="s">
        <v>192</v>
      </c>
      <c r="S116" s="1" t="s">
        <v>192</v>
      </c>
      <c r="T116" s="1" t="s">
        <v>192</v>
      </c>
      <c r="U116" s="1" t="s">
        <v>192</v>
      </c>
      <c r="V116" s="3" t="s">
        <v>192</v>
      </c>
      <c r="W116" s="3" t="s">
        <v>192</v>
      </c>
      <c r="X116" s="3" t="s">
        <v>192</v>
      </c>
      <c r="Y116" s="1" t="s">
        <v>192</v>
      </c>
      <c r="Z116" s="1" t="s">
        <v>192</v>
      </c>
      <c r="AA116" s="1" t="s">
        <v>192</v>
      </c>
      <c r="AB116" s="1" t="s">
        <v>192</v>
      </c>
      <c r="AC116" s="1" t="s">
        <v>192</v>
      </c>
      <c r="AD116" s="1" t="s">
        <v>192</v>
      </c>
      <c r="AE116" s="3" t="s">
        <v>192</v>
      </c>
      <c r="AF116" s="3" t="s">
        <v>192</v>
      </c>
      <c r="AG116" s="3" t="s">
        <v>192</v>
      </c>
      <c r="AH116" s="1" t="s">
        <v>192</v>
      </c>
      <c r="AI116" s="1" t="s">
        <v>192</v>
      </c>
      <c r="AJ116" s="1" t="s">
        <v>192</v>
      </c>
      <c r="AK116" s="1" t="s">
        <v>192</v>
      </c>
      <c r="AL116" s="1" t="s">
        <v>192</v>
      </c>
      <c r="AM116" s="1" t="s">
        <v>192</v>
      </c>
      <c r="AN116" s="1" t="s">
        <v>192</v>
      </c>
      <c r="AO116" s="3" t="s">
        <v>192</v>
      </c>
      <c r="AP116" s="3" t="s">
        <v>192</v>
      </c>
      <c r="AQ116" s="1" t="s">
        <v>192</v>
      </c>
      <c r="AR116" s="3" t="s">
        <v>192</v>
      </c>
      <c r="AS116" s="3" t="s">
        <v>192</v>
      </c>
      <c r="AT116" s="3" t="s">
        <v>192</v>
      </c>
      <c r="AU116" s="3" t="s">
        <v>192</v>
      </c>
      <c r="AV116" s="3" t="s">
        <v>192</v>
      </c>
      <c r="AW116" s="1" t="s">
        <v>192</v>
      </c>
      <c r="AX116" s="1" t="s">
        <v>192</v>
      </c>
      <c r="AY116" s="1" t="s">
        <v>192</v>
      </c>
      <c r="AZ116" s="1" t="s">
        <v>192</v>
      </c>
      <c r="BA116" s="1" t="s">
        <v>192</v>
      </c>
      <c r="BB116" s="1" t="s">
        <v>192</v>
      </c>
      <c r="BC116" s="1" t="s">
        <v>192</v>
      </c>
      <c r="BD116" s="1" t="s">
        <v>192</v>
      </c>
      <c r="BE116" s="1" t="s">
        <v>192</v>
      </c>
      <c r="BF116" s="1" t="s">
        <v>192</v>
      </c>
      <c r="BG116" s="1" t="s">
        <v>192</v>
      </c>
      <c r="BH116" s="1" t="s">
        <v>192</v>
      </c>
      <c r="BI116" s="1" t="s">
        <v>192</v>
      </c>
      <c r="BJ116" s="1" t="s">
        <v>192</v>
      </c>
      <c r="BK116" s="1" t="s">
        <v>192</v>
      </c>
      <c r="BL116" s="1" t="s">
        <v>192</v>
      </c>
      <c r="BM116" s="1" t="s">
        <v>192</v>
      </c>
      <c r="BN116" s="1" t="s">
        <v>192</v>
      </c>
      <c r="BO116" s="1" t="s">
        <v>192</v>
      </c>
      <c r="BP116" s="1" t="s">
        <v>192</v>
      </c>
      <c r="BQ116" s="1" t="s">
        <v>192</v>
      </c>
      <c r="BR116" s="1" t="s">
        <v>192</v>
      </c>
      <c r="BS116" s="1" t="s">
        <v>192</v>
      </c>
      <c r="BT116" s="1" t="s">
        <v>192</v>
      </c>
      <c r="BU116" s="1" t="s">
        <v>192</v>
      </c>
      <c r="BV116" s="1" t="s">
        <v>192</v>
      </c>
      <c r="BW116" s="1" t="s">
        <v>192</v>
      </c>
      <c r="BX116" s="1" t="s">
        <v>192</v>
      </c>
      <c r="BY116" s="1" t="s">
        <v>192</v>
      </c>
      <c r="BZ116" s="1" t="s">
        <v>192</v>
      </c>
      <c r="CA116" s="1" t="s">
        <v>192</v>
      </c>
      <c r="CB116" s="1" t="s">
        <v>192</v>
      </c>
      <c r="CC116" s="1" t="s">
        <v>192</v>
      </c>
      <c r="CD116" s="1" t="s">
        <v>192</v>
      </c>
      <c r="CE116" s="1" t="s">
        <v>192</v>
      </c>
      <c r="CF116" s="1" t="s">
        <v>192</v>
      </c>
      <c r="CG116" s="3">
        <v>3</v>
      </c>
      <c r="CH116" s="3" t="s">
        <v>192</v>
      </c>
      <c r="CI116" s="3" t="s">
        <v>192</v>
      </c>
      <c r="CJ116" s="3" t="s">
        <v>192</v>
      </c>
      <c r="CK116" s="3" t="s">
        <v>192</v>
      </c>
      <c r="CL116" s="3" t="s">
        <v>192</v>
      </c>
      <c r="CM116" s="3" t="s">
        <v>192</v>
      </c>
      <c r="CN116" s="3" t="s">
        <v>192</v>
      </c>
      <c r="CO116" s="3" t="s">
        <v>192</v>
      </c>
      <c r="CP116" s="3" t="s">
        <v>192</v>
      </c>
      <c r="CQ116" s="3" t="s">
        <v>192</v>
      </c>
      <c r="CR116" s="3" t="s">
        <v>192</v>
      </c>
      <c r="CS116" s="3" t="s">
        <v>192</v>
      </c>
      <c r="CT116" s="1">
        <f>SUM(Table7[[#This Row],[Acyl_amino_acids]:[T3PKS]])</f>
        <v>5</v>
      </c>
      <c r="CU116" s="3" t="s">
        <v>192</v>
      </c>
      <c r="CW116" s="1" t="str">
        <f>Table7[[#This Row],[NRPS]]</f>
        <v>-</v>
      </c>
      <c r="CX116" s="1">
        <f>SUM(CP116,CR116,CS116,Table7[[#This Row],[T1PKS, T3PKS]])</f>
        <v>0</v>
      </c>
      <c r="CY116" s="1">
        <f t="shared" si="1"/>
        <v>0</v>
      </c>
      <c r="CZ116" s="1">
        <f>Table7[[#This Row],[Terpene]]</f>
        <v>3</v>
      </c>
      <c r="DA116" s="1">
        <f>SUM(Table7[[#This Row],[Thiopeptide]],BH116,BF116,BE116,BC116,AZ116,AX116,AW116,AJ116,AH116,N116,L116,J116,H116,I116,K116,R116,Q116,Table7[[#This Row],[Cyanobactin, LAP]])</f>
        <v>2</v>
      </c>
      <c r="DB116" s="1">
        <f>SUM(CO116,CN116,CL116,CK116,CJ116,CI116,CH116,CF116,CE116,CD116,CB116,CA116,BZ116,BY116,BX116,BW116,BV116,BT116,BR116,BQ116,BP116,BO116,BM116,BK116,BJ116,BI116,BG116,BD116,BB116,BA116,AY116,AV116,AU116,AT116,AS116,AR116,AQ116,AP116,AO116,AN116,AM116,AL116,AK116,AG116,AF116,AE116,AD116,AC116,AB116,AA116,Z116,Y116,X116,W116,V116,U116,T116,S116,P116,O116,M116,Table7[[#This Row],[Acyl_amino_acids]],E116,F116,G116,)</f>
        <v>0</v>
      </c>
    </row>
    <row r="117" spans="1:106" x14ac:dyDescent="0.25">
      <c r="A117" s="9" t="s">
        <v>676</v>
      </c>
      <c r="B117" s="1" t="s">
        <v>435</v>
      </c>
      <c r="C117" s="1" t="s">
        <v>351</v>
      </c>
      <c r="D117" s="1" t="s">
        <v>192</v>
      </c>
      <c r="E117" s="1" t="s">
        <v>192</v>
      </c>
      <c r="F117" s="1" t="s">
        <v>192</v>
      </c>
      <c r="G117" s="1" t="s">
        <v>192</v>
      </c>
      <c r="H117" s="1">
        <v>2</v>
      </c>
      <c r="I117" s="1" t="s">
        <v>192</v>
      </c>
      <c r="J117" s="1" t="s">
        <v>192</v>
      </c>
      <c r="K117" s="1" t="s">
        <v>192</v>
      </c>
      <c r="L117" s="1" t="s">
        <v>192</v>
      </c>
      <c r="M117" s="1" t="s">
        <v>192</v>
      </c>
      <c r="N117" s="1" t="s">
        <v>192</v>
      </c>
      <c r="O117" s="1" t="s">
        <v>192</v>
      </c>
      <c r="P117" s="1" t="s">
        <v>192</v>
      </c>
      <c r="Q117" s="1" t="s">
        <v>192</v>
      </c>
      <c r="R117" s="1" t="s">
        <v>192</v>
      </c>
      <c r="S117" s="1" t="s">
        <v>192</v>
      </c>
      <c r="T117" s="1" t="s">
        <v>192</v>
      </c>
      <c r="U117" s="1" t="s">
        <v>192</v>
      </c>
      <c r="V117" s="1" t="s">
        <v>192</v>
      </c>
      <c r="W117" s="1" t="s">
        <v>192</v>
      </c>
      <c r="X117" s="1" t="s">
        <v>192</v>
      </c>
      <c r="Y117" s="1" t="s">
        <v>192</v>
      </c>
      <c r="Z117" s="1" t="s">
        <v>192</v>
      </c>
      <c r="AA117" s="1" t="s">
        <v>192</v>
      </c>
      <c r="AB117" s="1" t="s">
        <v>192</v>
      </c>
      <c r="AC117" s="1" t="s">
        <v>192</v>
      </c>
      <c r="AD117" s="1" t="s">
        <v>192</v>
      </c>
      <c r="AE117" s="1" t="s">
        <v>192</v>
      </c>
      <c r="AF117" s="1" t="s">
        <v>192</v>
      </c>
      <c r="AG117" s="1" t="s">
        <v>192</v>
      </c>
      <c r="AH117" s="1" t="s">
        <v>192</v>
      </c>
      <c r="AI117" s="1" t="s">
        <v>192</v>
      </c>
      <c r="AJ117" s="1" t="s">
        <v>192</v>
      </c>
      <c r="AK117" s="1" t="s">
        <v>192</v>
      </c>
      <c r="AL117" s="1" t="s">
        <v>192</v>
      </c>
      <c r="AM117" s="1" t="s">
        <v>192</v>
      </c>
      <c r="AN117" s="1" t="s">
        <v>192</v>
      </c>
      <c r="AO117" s="1" t="s">
        <v>192</v>
      </c>
      <c r="AP117" s="1" t="s">
        <v>192</v>
      </c>
      <c r="AQ117" s="1" t="s">
        <v>192</v>
      </c>
      <c r="AR117" s="1" t="s">
        <v>192</v>
      </c>
      <c r="AS117" s="1" t="s">
        <v>192</v>
      </c>
      <c r="AT117" s="1" t="s">
        <v>192</v>
      </c>
      <c r="AU117" s="1" t="s">
        <v>192</v>
      </c>
      <c r="AV117" s="1" t="s">
        <v>192</v>
      </c>
      <c r="AW117" s="1" t="s">
        <v>192</v>
      </c>
      <c r="AX117" s="1" t="s">
        <v>192</v>
      </c>
      <c r="AY117" s="1" t="s">
        <v>192</v>
      </c>
      <c r="AZ117" s="1" t="s">
        <v>192</v>
      </c>
      <c r="BA117" s="1" t="s">
        <v>192</v>
      </c>
      <c r="BB117" s="1" t="s">
        <v>192</v>
      </c>
      <c r="BC117" s="1" t="s">
        <v>192</v>
      </c>
      <c r="BD117" s="1" t="s">
        <v>192</v>
      </c>
      <c r="BE117" s="1" t="s">
        <v>192</v>
      </c>
      <c r="BF117" s="1" t="s">
        <v>192</v>
      </c>
      <c r="BG117" s="1" t="s">
        <v>192</v>
      </c>
      <c r="BH117" s="1" t="s">
        <v>192</v>
      </c>
      <c r="BI117" s="1" t="s">
        <v>192</v>
      </c>
      <c r="BJ117" s="1" t="s">
        <v>192</v>
      </c>
      <c r="BK117" s="1" t="s">
        <v>192</v>
      </c>
      <c r="BL117" s="1" t="s">
        <v>192</v>
      </c>
      <c r="BM117" s="1" t="s">
        <v>192</v>
      </c>
      <c r="BN117" s="1" t="s">
        <v>192</v>
      </c>
      <c r="BO117" s="1" t="s">
        <v>192</v>
      </c>
      <c r="BP117" s="1" t="s">
        <v>192</v>
      </c>
      <c r="BQ117" s="1" t="s">
        <v>192</v>
      </c>
      <c r="BR117" s="1" t="s">
        <v>192</v>
      </c>
      <c r="BS117" s="1" t="s">
        <v>192</v>
      </c>
      <c r="BT117" s="1" t="s">
        <v>192</v>
      </c>
      <c r="BU117" s="1" t="s">
        <v>192</v>
      </c>
      <c r="BV117" s="1" t="s">
        <v>192</v>
      </c>
      <c r="BW117" s="1" t="s">
        <v>192</v>
      </c>
      <c r="BX117" s="1" t="s">
        <v>192</v>
      </c>
      <c r="BY117" s="1" t="s">
        <v>192</v>
      </c>
      <c r="BZ117" s="1" t="s">
        <v>192</v>
      </c>
      <c r="CA117" s="1" t="s">
        <v>192</v>
      </c>
      <c r="CB117" s="1" t="s">
        <v>192</v>
      </c>
      <c r="CC117" s="1" t="s">
        <v>192</v>
      </c>
      <c r="CD117" s="1" t="s">
        <v>192</v>
      </c>
      <c r="CE117" s="1" t="s">
        <v>192</v>
      </c>
      <c r="CF117" s="1" t="s">
        <v>192</v>
      </c>
      <c r="CG117" s="1">
        <v>3</v>
      </c>
      <c r="CH117" s="1" t="s">
        <v>192</v>
      </c>
      <c r="CI117" s="1" t="s">
        <v>192</v>
      </c>
      <c r="CJ117" s="1" t="s">
        <v>192</v>
      </c>
      <c r="CK117" s="1" t="s">
        <v>192</v>
      </c>
      <c r="CL117" s="1" t="s">
        <v>192</v>
      </c>
      <c r="CM117" s="1" t="s">
        <v>192</v>
      </c>
      <c r="CN117" s="1" t="s">
        <v>192</v>
      </c>
      <c r="CO117" s="1" t="s">
        <v>192</v>
      </c>
      <c r="CP117" s="1" t="s">
        <v>192</v>
      </c>
      <c r="CQ117" s="1" t="s">
        <v>192</v>
      </c>
      <c r="CR117" s="1" t="s">
        <v>192</v>
      </c>
      <c r="CS117" s="1" t="s">
        <v>192</v>
      </c>
      <c r="CT117" s="1">
        <f>SUM(Table7[[#This Row],[Acyl_amino_acids]:[T3PKS]])</f>
        <v>5</v>
      </c>
      <c r="CU117" s="1" t="s">
        <v>192</v>
      </c>
      <c r="CW117" s="1" t="str">
        <f>Table7[[#This Row],[NRPS]]</f>
        <v>-</v>
      </c>
      <c r="CX117" s="1">
        <f>SUM(CP117,CR117,CS117,Table7[[#This Row],[T1PKS, T3PKS]])</f>
        <v>0</v>
      </c>
      <c r="CY117" s="1">
        <f t="shared" si="1"/>
        <v>0</v>
      </c>
      <c r="CZ117" s="1">
        <f>Table7[[#This Row],[Terpene]]</f>
        <v>3</v>
      </c>
      <c r="DA117" s="1">
        <f>SUM(Table7[[#This Row],[Thiopeptide]],BH117,BF117,BE117,BC117,AZ117,AX117,AW117,AJ117,AH117,N117,L117,J117,H117,I117,K117,R117,Q117,Table7[[#This Row],[Cyanobactin, LAP]])</f>
        <v>2</v>
      </c>
      <c r="DB117" s="1">
        <f>SUM(CO117,CN117,CL117,CK117,CJ117,CI117,CH117,CF117,CE117,CD117,CB117,CA117,BZ117,BY117,BX117,BW117,BV117,BT117,BR117,BQ117,BP117,BO117,BM117,BK117,BJ117,BI117,BG117,BD117,BB117,BA117,AY117,AV117,AU117,AT117,AS117,AR117,AQ117,AP117,AO117,AN117,AM117,AL117,AK117,AG117,AF117,AE117,AD117,AC117,AB117,AA117,Z117,Y117,X117,W117,V117,U117,T117,S117,P117,O117,M117,Table7[[#This Row],[Acyl_amino_acids]],E117,F117,G117,)</f>
        <v>0</v>
      </c>
    </row>
    <row r="118" spans="1:106" x14ac:dyDescent="0.25">
      <c r="A118" s="9" t="s">
        <v>670</v>
      </c>
      <c r="B118" s="1" t="s">
        <v>435</v>
      </c>
      <c r="C118" s="1" t="s">
        <v>243</v>
      </c>
      <c r="D118" s="1" t="s">
        <v>192</v>
      </c>
      <c r="E118" s="1" t="s">
        <v>192</v>
      </c>
      <c r="F118" s="1" t="s">
        <v>192</v>
      </c>
      <c r="G118" s="1" t="s">
        <v>192</v>
      </c>
      <c r="H118" s="1">
        <v>1</v>
      </c>
      <c r="I118" s="1" t="s">
        <v>192</v>
      </c>
      <c r="J118" s="1" t="s">
        <v>192</v>
      </c>
      <c r="K118" s="1" t="s">
        <v>192</v>
      </c>
      <c r="L118" s="1" t="s">
        <v>192</v>
      </c>
      <c r="M118" s="1" t="s">
        <v>192</v>
      </c>
      <c r="N118" s="1" t="s">
        <v>192</v>
      </c>
      <c r="O118" s="1" t="s">
        <v>192</v>
      </c>
      <c r="P118" s="1" t="s">
        <v>192</v>
      </c>
      <c r="Q118" s="1" t="s">
        <v>192</v>
      </c>
      <c r="R118" s="1" t="s">
        <v>192</v>
      </c>
      <c r="S118" s="1" t="s">
        <v>192</v>
      </c>
      <c r="T118" s="1" t="s">
        <v>192</v>
      </c>
      <c r="U118" s="1" t="s">
        <v>192</v>
      </c>
      <c r="V118" s="1" t="s">
        <v>192</v>
      </c>
      <c r="W118" s="1" t="s">
        <v>192</v>
      </c>
      <c r="X118" s="1" t="s">
        <v>192</v>
      </c>
      <c r="Y118" s="1" t="s">
        <v>192</v>
      </c>
      <c r="Z118" s="1" t="s">
        <v>192</v>
      </c>
      <c r="AA118" s="1" t="s">
        <v>192</v>
      </c>
      <c r="AB118" s="1" t="s">
        <v>192</v>
      </c>
      <c r="AC118" s="1" t="s">
        <v>192</v>
      </c>
      <c r="AD118" s="1" t="s">
        <v>192</v>
      </c>
      <c r="AE118" s="1" t="s">
        <v>192</v>
      </c>
      <c r="AF118" s="1" t="s">
        <v>192</v>
      </c>
      <c r="AG118" s="1" t="s">
        <v>192</v>
      </c>
      <c r="AH118" s="1" t="s">
        <v>192</v>
      </c>
      <c r="AI118" s="1" t="s">
        <v>192</v>
      </c>
      <c r="AJ118" s="1" t="s">
        <v>192</v>
      </c>
      <c r="AK118" s="1" t="s">
        <v>192</v>
      </c>
      <c r="AL118" s="1" t="s">
        <v>192</v>
      </c>
      <c r="AM118" s="1" t="s">
        <v>192</v>
      </c>
      <c r="AN118" s="1" t="s">
        <v>192</v>
      </c>
      <c r="AO118" s="1" t="s">
        <v>192</v>
      </c>
      <c r="AP118" s="1" t="s">
        <v>192</v>
      </c>
      <c r="AQ118" s="1" t="s">
        <v>192</v>
      </c>
      <c r="AR118" s="1" t="s">
        <v>192</v>
      </c>
      <c r="AS118" s="1" t="s">
        <v>192</v>
      </c>
      <c r="AT118" s="1" t="s">
        <v>192</v>
      </c>
      <c r="AU118" s="1" t="s">
        <v>192</v>
      </c>
      <c r="AV118" s="1" t="s">
        <v>192</v>
      </c>
      <c r="AW118" s="1" t="s">
        <v>192</v>
      </c>
      <c r="AX118" s="1" t="s">
        <v>192</v>
      </c>
      <c r="AY118" s="1" t="s">
        <v>192</v>
      </c>
      <c r="AZ118" s="1" t="s">
        <v>192</v>
      </c>
      <c r="BA118" s="1" t="s">
        <v>192</v>
      </c>
      <c r="BB118" s="1" t="s">
        <v>192</v>
      </c>
      <c r="BC118" s="1" t="s">
        <v>192</v>
      </c>
      <c r="BD118" s="1" t="s">
        <v>192</v>
      </c>
      <c r="BE118" s="1" t="s">
        <v>192</v>
      </c>
      <c r="BF118" s="1" t="s">
        <v>192</v>
      </c>
      <c r="BG118" s="1" t="s">
        <v>192</v>
      </c>
      <c r="BH118" s="1" t="s">
        <v>192</v>
      </c>
      <c r="BI118" s="1" t="s">
        <v>192</v>
      </c>
      <c r="BJ118" s="1" t="s">
        <v>192</v>
      </c>
      <c r="BK118" s="1" t="s">
        <v>192</v>
      </c>
      <c r="BL118" s="1" t="s">
        <v>192</v>
      </c>
      <c r="BM118" s="1" t="s">
        <v>192</v>
      </c>
      <c r="BN118" s="1" t="s">
        <v>192</v>
      </c>
      <c r="BO118" s="1" t="s">
        <v>192</v>
      </c>
      <c r="BP118" s="1" t="s">
        <v>192</v>
      </c>
      <c r="BQ118" s="1" t="s">
        <v>192</v>
      </c>
      <c r="BR118" s="1" t="s">
        <v>192</v>
      </c>
      <c r="BS118" s="1" t="s">
        <v>192</v>
      </c>
      <c r="BT118" s="1" t="s">
        <v>192</v>
      </c>
      <c r="BU118" s="1" t="s">
        <v>192</v>
      </c>
      <c r="BV118" s="1" t="s">
        <v>192</v>
      </c>
      <c r="BW118" s="1" t="s">
        <v>192</v>
      </c>
      <c r="BX118" s="1" t="s">
        <v>192</v>
      </c>
      <c r="BY118" s="1" t="s">
        <v>192</v>
      </c>
      <c r="BZ118" s="1" t="s">
        <v>192</v>
      </c>
      <c r="CA118" s="1" t="s">
        <v>192</v>
      </c>
      <c r="CB118" s="1" t="s">
        <v>192</v>
      </c>
      <c r="CC118" s="1" t="s">
        <v>192</v>
      </c>
      <c r="CD118" s="1" t="s">
        <v>192</v>
      </c>
      <c r="CE118" s="1" t="s">
        <v>192</v>
      </c>
      <c r="CF118" s="1" t="s">
        <v>192</v>
      </c>
      <c r="CG118" s="1">
        <v>3</v>
      </c>
      <c r="CH118" s="1" t="s">
        <v>192</v>
      </c>
      <c r="CI118" s="1" t="s">
        <v>192</v>
      </c>
      <c r="CJ118" s="1" t="s">
        <v>192</v>
      </c>
      <c r="CK118" s="1" t="s">
        <v>192</v>
      </c>
      <c r="CL118" s="1" t="s">
        <v>192</v>
      </c>
      <c r="CM118" s="1" t="s">
        <v>192</v>
      </c>
      <c r="CN118" s="1" t="s">
        <v>192</v>
      </c>
      <c r="CO118" s="1" t="s">
        <v>192</v>
      </c>
      <c r="CP118" s="1" t="s">
        <v>192</v>
      </c>
      <c r="CQ118" s="1" t="s">
        <v>192</v>
      </c>
      <c r="CR118" s="1" t="s">
        <v>192</v>
      </c>
      <c r="CS118" s="1" t="s">
        <v>192</v>
      </c>
      <c r="CT118" s="1">
        <f>SUM(Table7[[#This Row],[Acyl_amino_acids]:[T3PKS]])</f>
        <v>4</v>
      </c>
      <c r="CU118" s="1" t="s">
        <v>192</v>
      </c>
      <c r="CW118" s="1" t="str">
        <f>Table7[[#This Row],[NRPS]]</f>
        <v>-</v>
      </c>
      <c r="CX118" s="1">
        <f>SUM(CP118,CR118,CS118,Table7[[#This Row],[T1PKS, T3PKS]])</f>
        <v>0</v>
      </c>
      <c r="CY118" s="1">
        <f t="shared" si="1"/>
        <v>0</v>
      </c>
      <c r="CZ118" s="1">
        <f>Table7[[#This Row],[Terpene]]</f>
        <v>3</v>
      </c>
      <c r="DA118" s="1">
        <f>SUM(Table7[[#This Row],[Thiopeptide]],BH118,BF118,BE118,BC118,AZ118,AX118,AW118,AJ118,AH118,N118,L118,J118,H118,I118,K118,R118,Q118,Table7[[#This Row],[Cyanobactin, LAP]])</f>
        <v>1</v>
      </c>
      <c r="DB118" s="1">
        <f>SUM(CO118,CN118,CL118,CK118,CJ118,CI118,CH118,CF118,CE118,CD118,CB118,CA118,BZ118,BY118,BX118,BW118,BV118,BT118,BR118,BQ118,BP118,BO118,BM118,BK118,BJ118,BI118,BG118,BD118,BB118,BA118,AY118,AV118,AU118,AT118,AS118,AR118,AQ118,AP118,AO118,AN118,AM118,AL118,AK118,AG118,AF118,AE118,AD118,AC118,AB118,AA118,Z118,Y118,X118,W118,V118,U118,T118,S118,P118,O118,M118,Table7[[#This Row],[Acyl_amino_acids]],E118,F118,G118,)</f>
        <v>0</v>
      </c>
    </row>
    <row r="119" spans="1:106" x14ac:dyDescent="0.25">
      <c r="A119" s="9" t="s">
        <v>671</v>
      </c>
      <c r="B119" s="1" t="s">
        <v>435</v>
      </c>
      <c r="C119" s="1" t="s">
        <v>355</v>
      </c>
      <c r="D119" s="1" t="s">
        <v>192</v>
      </c>
      <c r="E119" s="1" t="s">
        <v>192</v>
      </c>
      <c r="F119" s="1" t="s">
        <v>192</v>
      </c>
      <c r="G119" s="1" t="s">
        <v>192</v>
      </c>
      <c r="H119" s="1">
        <v>1</v>
      </c>
      <c r="I119" s="1" t="s">
        <v>192</v>
      </c>
      <c r="J119" s="1" t="s">
        <v>192</v>
      </c>
      <c r="K119" s="1" t="s">
        <v>192</v>
      </c>
      <c r="L119" s="1" t="s">
        <v>192</v>
      </c>
      <c r="M119" s="1" t="s">
        <v>192</v>
      </c>
      <c r="N119" s="1" t="s">
        <v>192</v>
      </c>
      <c r="O119" s="1" t="s">
        <v>192</v>
      </c>
      <c r="P119" s="1" t="s">
        <v>192</v>
      </c>
      <c r="Q119" s="1" t="s">
        <v>192</v>
      </c>
      <c r="R119" s="1" t="s">
        <v>192</v>
      </c>
      <c r="S119" s="1" t="s">
        <v>192</v>
      </c>
      <c r="T119" s="1" t="s">
        <v>192</v>
      </c>
      <c r="U119" s="1" t="s">
        <v>192</v>
      </c>
      <c r="V119" s="1" t="s">
        <v>192</v>
      </c>
      <c r="W119" s="1" t="s">
        <v>192</v>
      </c>
      <c r="X119" s="1" t="s">
        <v>192</v>
      </c>
      <c r="Y119" s="1" t="s">
        <v>192</v>
      </c>
      <c r="Z119" s="1" t="s">
        <v>192</v>
      </c>
      <c r="AA119" s="1" t="s">
        <v>192</v>
      </c>
      <c r="AB119" s="1" t="s">
        <v>192</v>
      </c>
      <c r="AC119" s="1" t="s">
        <v>192</v>
      </c>
      <c r="AD119" s="1" t="s">
        <v>192</v>
      </c>
      <c r="AE119" s="1" t="s">
        <v>192</v>
      </c>
      <c r="AF119" s="1" t="s">
        <v>192</v>
      </c>
      <c r="AG119" s="1" t="s">
        <v>192</v>
      </c>
      <c r="AH119" s="1" t="s">
        <v>192</v>
      </c>
      <c r="AI119" s="1" t="s">
        <v>192</v>
      </c>
      <c r="AJ119" s="1" t="s">
        <v>192</v>
      </c>
      <c r="AK119" s="1" t="s">
        <v>192</v>
      </c>
      <c r="AL119" s="1" t="s">
        <v>192</v>
      </c>
      <c r="AM119" s="1" t="s">
        <v>192</v>
      </c>
      <c r="AN119" s="1" t="s">
        <v>192</v>
      </c>
      <c r="AO119" s="1" t="s">
        <v>192</v>
      </c>
      <c r="AP119" s="1" t="s">
        <v>192</v>
      </c>
      <c r="AQ119" s="1" t="s">
        <v>192</v>
      </c>
      <c r="AR119" s="1" t="s">
        <v>192</v>
      </c>
      <c r="AS119" s="1" t="s">
        <v>192</v>
      </c>
      <c r="AT119" s="1" t="s">
        <v>192</v>
      </c>
      <c r="AU119" s="1" t="s">
        <v>192</v>
      </c>
      <c r="AV119" s="1" t="s">
        <v>192</v>
      </c>
      <c r="AW119" s="1" t="s">
        <v>192</v>
      </c>
      <c r="AX119" s="1" t="s">
        <v>192</v>
      </c>
      <c r="AY119" s="1" t="s">
        <v>192</v>
      </c>
      <c r="AZ119" s="1" t="s">
        <v>192</v>
      </c>
      <c r="BA119" s="1" t="s">
        <v>192</v>
      </c>
      <c r="BB119" s="1" t="s">
        <v>192</v>
      </c>
      <c r="BC119" s="1" t="s">
        <v>192</v>
      </c>
      <c r="BD119" s="1" t="s">
        <v>192</v>
      </c>
      <c r="BE119" s="1" t="s">
        <v>192</v>
      </c>
      <c r="BF119" s="1" t="s">
        <v>192</v>
      </c>
      <c r="BG119" s="1" t="s">
        <v>192</v>
      </c>
      <c r="BH119" s="1" t="s">
        <v>192</v>
      </c>
      <c r="BI119" s="1" t="s">
        <v>192</v>
      </c>
      <c r="BJ119" s="1" t="s">
        <v>192</v>
      </c>
      <c r="BK119" s="1" t="s">
        <v>192</v>
      </c>
      <c r="BL119" s="1" t="s">
        <v>192</v>
      </c>
      <c r="BM119" s="1" t="s">
        <v>192</v>
      </c>
      <c r="BN119" s="1" t="s">
        <v>192</v>
      </c>
      <c r="BO119" s="1" t="s">
        <v>192</v>
      </c>
      <c r="BP119" s="1" t="s">
        <v>192</v>
      </c>
      <c r="BQ119" s="1" t="s">
        <v>192</v>
      </c>
      <c r="BR119" s="1" t="s">
        <v>192</v>
      </c>
      <c r="BS119" s="1" t="s">
        <v>192</v>
      </c>
      <c r="BT119" s="1" t="s">
        <v>192</v>
      </c>
      <c r="BU119" s="1" t="s">
        <v>192</v>
      </c>
      <c r="BV119" s="1" t="s">
        <v>192</v>
      </c>
      <c r="BW119" s="1" t="s">
        <v>192</v>
      </c>
      <c r="BX119" s="1" t="s">
        <v>192</v>
      </c>
      <c r="BY119" s="1" t="s">
        <v>192</v>
      </c>
      <c r="BZ119" s="1" t="s">
        <v>192</v>
      </c>
      <c r="CA119" s="1" t="s">
        <v>192</v>
      </c>
      <c r="CB119" s="1" t="s">
        <v>192</v>
      </c>
      <c r="CC119" s="1" t="s">
        <v>192</v>
      </c>
      <c r="CD119" s="1" t="s">
        <v>192</v>
      </c>
      <c r="CE119" s="1" t="s">
        <v>192</v>
      </c>
      <c r="CF119" s="1" t="s">
        <v>192</v>
      </c>
      <c r="CG119" s="1">
        <v>3</v>
      </c>
      <c r="CH119" s="1" t="s">
        <v>192</v>
      </c>
      <c r="CI119" s="1" t="s">
        <v>192</v>
      </c>
      <c r="CJ119" s="1" t="s">
        <v>192</v>
      </c>
      <c r="CK119" s="1" t="s">
        <v>192</v>
      </c>
      <c r="CL119" s="1" t="s">
        <v>192</v>
      </c>
      <c r="CM119" s="1" t="s">
        <v>192</v>
      </c>
      <c r="CN119" s="1" t="s">
        <v>192</v>
      </c>
      <c r="CO119" s="1" t="s">
        <v>192</v>
      </c>
      <c r="CP119" s="1" t="s">
        <v>192</v>
      </c>
      <c r="CQ119" s="1" t="s">
        <v>192</v>
      </c>
      <c r="CR119" s="1" t="s">
        <v>192</v>
      </c>
      <c r="CS119" s="1" t="s">
        <v>192</v>
      </c>
      <c r="CT119" s="1">
        <f>SUM(Table7[[#This Row],[Acyl_amino_acids]:[T3PKS]])</f>
        <v>4</v>
      </c>
      <c r="CU119" s="1" t="s">
        <v>192</v>
      </c>
      <c r="CW119" s="1" t="str">
        <f>Table7[[#This Row],[NRPS]]</f>
        <v>-</v>
      </c>
      <c r="CX119" s="1">
        <f>SUM(CP119,CR119,CS119,Table7[[#This Row],[T1PKS, T3PKS]])</f>
        <v>0</v>
      </c>
      <c r="CY119" s="1">
        <f t="shared" si="1"/>
        <v>0</v>
      </c>
      <c r="CZ119" s="1">
        <f>Table7[[#This Row],[Terpene]]</f>
        <v>3</v>
      </c>
      <c r="DA119" s="1">
        <f>SUM(Table7[[#This Row],[Thiopeptide]],BH119,BF119,BE119,BC119,AZ119,AX119,AW119,AJ119,AH119,N119,L119,J119,H119,I119,K119,R119,Q119,Table7[[#This Row],[Cyanobactin, LAP]])</f>
        <v>1</v>
      </c>
      <c r="DB119" s="1">
        <f>SUM(CO119,CN119,CL119,CK119,CJ119,CI119,CH119,CF119,CE119,CD119,CB119,CA119,BZ119,BY119,BX119,BW119,BV119,BT119,BR119,BQ119,BP119,BO119,BM119,BK119,BJ119,BI119,BG119,BD119,BB119,BA119,AY119,AV119,AU119,AT119,AS119,AR119,AQ119,AP119,AO119,AN119,AM119,AL119,AK119,AG119,AF119,AE119,AD119,AC119,AB119,AA119,Z119,Y119,X119,W119,V119,U119,T119,S119,P119,O119,M119,Table7[[#This Row],[Acyl_amino_acids]],E119,F119,G119,)</f>
        <v>0</v>
      </c>
    </row>
    <row r="120" spans="1:106" x14ac:dyDescent="0.25">
      <c r="A120" s="9" t="s">
        <v>738</v>
      </c>
      <c r="B120" s="1" t="s">
        <v>435</v>
      </c>
      <c r="C120" s="1" t="s">
        <v>356</v>
      </c>
      <c r="D120" s="1" t="s">
        <v>192</v>
      </c>
      <c r="E120" s="3" t="s">
        <v>192</v>
      </c>
      <c r="F120" s="3" t="s">
        <v>192</v>
      </c>
      <c r="G120" s="3" t="s">
        <v>192</v>
      </c>
      <c r="H120" s="3">
        <v>1</v>
      </c>
      <c r="I120" s="3" t="s">
        <v>192</v>
      </c>
      <c r="J120" s="3" t="s">
        <v>192</v>
      </c>
      <c r="K120" s="3" t="s">
        <v>192</v>
      </c>
      <c r="L120" s="3" t="s">
        <v>192</v>
      </c>
      <c r="M120" s="3" t="s">
        <v>192</v>
      </c>
      <c r="N120" s="3" t="s">
        <v>192</v>
      </c>
      <c r="O120" s="3" t="s">
        <v>192</v>
      </c>
      <c r="P120" s="3" t="s">
        <v>192</v>
      </c>
      <c r="Q120" s="3" t="s">
        <v>192</v>
      </c>
      <c r="R120" s="3" t="s">
        <v>192</v>
      </c>
      <c r="S120" s="3" t="s">
        <v>192</v>
      </c>
      <c r="T120" s="3" t="s">
        <v>192</v>
      </c>
      <c r="U120" s="3" t="s">
        <v>192</v>
      </c>
      <c r="V120" s="3" t="s">
        <v>192</v>
      </c>
      <c r="W120" s="3" t="s">
        <v>192</v>
      </c>
      <c r="X120" s="3" t="s">
        <v>192</v>
      </c>
      <c r="Y120" s="3" t="s">
        <v>192</v>
      </c>
      <c r="Z120" s="3" t="s">
        <v>192</v>
      </c>
      <c r="AA120" s="3" t="s">
        <v>192</v>
      </c>
      <c r="AB120" s="3" t="s">
        <v>192</v>
      </c>
      <c r="AC120" s="3" t="s">
        <v>192</v>
      </c>
      <c r="AD120" s="3" t="s">
        <v>192</v>
      </c>
      <c r="AE120" s="3" t="s">
        <v>192</v>
      </c>
      <c r="AF120" s="3" t="s">
        <v>192</v>
      </c>
      <c r="AG120" s="3" t="s">
        <v>192</v>
      </c>
      <c r="AH120" s="3" t="s">
        <v>192</v>
      </c>
      <c r="AI120" s="3" t="s">
        <v>192</v>
      </c>
      <c r="AJ120" s="3" t="s">
        <v>192</v>
      </c>
      <c r="AK120" s="3" t="s">
        <v>192</v>
      </c>
      <c r="AL120" s="3" t="s">
        <v>192</v>
      </c>
      <c r="AM120" s="3" t="s">
        <v>192</v>
      </c>
      <c r="AN120" s="3" t="s">
        <v>192</v>
      </c>
      <c r="AO120" s="3" t="s">
        <v>192</v>
      </c>
      <c r="AP120" s="3" t="s">
        <v>192</v>
      </c>
      <c r="AQ120" s="3" t="s">
        <v>192</v>
      </c>
      <c r="AR120" s="3" t="s">
        <v>192</v>
      </c>
      <c r="AS120" s="3" t="s">
        <v>192</v>
      </c>
      <c r="AT120" s="3" t="s">
        <v>192</v>
      </c>
      <c r="AU120" s="3" t="s">
        <v>192</v>
      </c>
      <c r="AV120" s="3" t="s">
        <v>192</v>
      </c>
      <c r="AW120" s="3" t="s">
        <v>192</v>
      </c>
      <c r="AX120" s="3" t="s">
        <v>192</v>
      </c>
      <c r="AY120" s="3" t="s">
        <v>192</v>
      </c>
      <c r="AZ120" s="3" t="s">
        <v>192</v>
      </c>
      <c r="BA120" s="3" t="s">
        <v>192</v>
      </c>
      <c r="BB120" s="3" t="s">
        <v>192</v>
      </c>
      <c r="BC120" s="3" t="s">
        <v>192</v>
      </c>
      <c r="BD120" s="3" t="s">
        <v>192</v>
      </c>
      <c r="BE120" s="3" t="s">
        <v>192</v>
      </c>
      <c r="BF120" s="3" t="s">
        <v>192</v>
      </c>
      <c r="BG120" s="3" t="s">
        <v>192</v>
      </c>
      <c r="BH120" s="3" t="s">
        <v>192</v>
      </c>
      <c r="BI120" s="3" t="s">
        <v>192</v>
      </c>
      <c r="BJ120" s="3" t="s">
        <v>192</v>
      </c>
      <c r="BK120" s="3" t="s">
        <v>192</v>
      </c>
      <c r="BL120" s="3" t="s">
        <v>192</v>
      </c>
      <c r="BM120" s="3" t="s">
        <v>192</v>
      </c>
      <c r="BN120" s="3" t="s">
        <v>192</v>
      </c>
      <c r="BO120" s="3" t="s">
        <v>192</v>
      </c>
      <c r="BP120" s="3" t="s">
        <v>192</v>
      </c>
      <c r="BQ120" s="3" t="s">
        <v>192</v>
      </c>
      <c r="BR120" s="3" t="s">
        <v>192</v>
      </c>
      <c r="BS120" s="3" t="s">
        <v>192</v>
      </c>
      <c r="BT120" s="3" t="s">
        <v>192</v>
      </c>
      <c r="BU120" s="3" t="s">
        <v>192</v>
      </c>
      <c r="BV120" s="3" t="s">
        <v>192</v>
      </c>
      <c r="BW120" s="3" t="s">
        <v>192</v>
      </c>
      <c r="BX120" s="3" t="s">
        <v>192</v>
      </c>
      <c r="BY120" s="3" t="s">
        <v>192</v>
      </c>
      <c r="BZ120" s="3" t="s">
        <v>192</v>
      </c>
      <c r="CA120" s="3" t="s">
        <v>192</v>
      </c>
      <c r="CB120" s="3" t="s">
        <v>192</v>
      </c>
      <c r="CC120" s="3" t="s">
        <v>192</v>
      </c>
      <c r="CD120" s="3" t="s">
        <v>192</v>
      </c>
      <c r="CE120" s="3" t="s">
        <v>192</v>
      </c>
      <c r="CF120" s="3" t="s">
        <v>192</v>
      </c>
      <c r="CG120" s="3">
        <v>3</v>
      </c>
      <c r="CH120" s="3" t="s">
        <v>192</v>
      </c>
      <c r="CI120" s="3" t="s">
        <v>192</v>
      </c>
      <c r="CJ120" s="3" t="s">
        <v>192</v>
      </c>
      <c r="CK120" s="3" t="s">
        <v>192</v>
      </c>
      <c r="CL120" s="3" t="s">
        <v>192</v>
      </c>
      <c r="CM120" s="3" t="s">
        <v>192</v>
      </c>
      <c r="CN120" s="3" t="s">
        <v>192</v>
      </c>
      <c r="CO120" s="3" t="s">
        <v>192</v>
      </c>
      <c r="CP120" s="3" t="s">
        <v>192</v>
      </c>
      <c r="CQ120" s="3" t="s">
        <v>192</v>
      </c>
      <c r="CR120" s="3" t="s">
        <v>192</v>
      </c>
      <c r="CS120" s="3" t="s">
        <v>192</v>
      </c>
      <c r="CT120" s="1">
        <f>SUM(Table7[[#This Row],[Acyl_amino_acids]:[T3PKS]])</f>
        <v>4</v>
      </c>
      <c r="CU120" s="3" t="s">
        <v>192</v>
      </c>
      <c r="CW120" s="1" t="str">
        <f>Table7[[#This Row],[NRPS]]</f>
        <v>-</v>
      </c>
      <c r="CX120" s="1">
        <f>SUM(CP120,CR120,CS120,Table7[[#This Row],[T1PKS, T3PKS]])</f>
        <v>0</v>
      </c>
      <c r="CY120" s="1">
        <f t="shared" si="1"/>
        <v>0</v>
      </c>
      <c r="CZ120" s="1">
        <f>Table7[[#This Row],[Terpene]]</f>
        <v>3</v>
      </c>
      <c r="DA120" s="1">
        <f>SUM(Table7[[#This Row],[Thiopeptide]],BH120,BF120,BE120,BC120,AZ120,AX120,AW120,AJ120,AH120,N120,L120,J120,H120,I120,K120,R120,Q120,Table7[[#This Row],[Cyanobactin, LAP]])</f>
        <v>1</v>
      </c>
      <c r="DB120" s="1">
        <f>SUM(CO120,CN120,CL120,CK120,CJ120,CI120,CH120,CF120,CE120,CD120,CB120,CA120,BZ120,BY120,BX120,BW120,BV120,BT120,BR120,BQ120,BP120,BO120,BM120,BK120,BJ120,BI120,BG120,BD120,BB120,BA120,AY120,AV120,AU120,AT120,AS120,AR120,AQ120,AP120,AO120,AN120,AM120,AL120,AK120,AG120,AF120,AE120,AD120,AC120,AB120,AA120,Z120,Y120,X120,W120,V120,U120,T120,S120,P120,O120,M120,Table7[[#This Row],[Acyl_amino_acids]],E120,F120,G120,)</f>
        <v>0</v>
      </c>
    </row>
    <row r="121" spans="1:106" x14ac:dyDescent="0.25">
      <c r="A121" s="9" t="s">
        <v>737</v>
      </c>
      <c r="B121" s="1" t="s">
        <v>435</v>
      </c>
      <c r="C121" s="1" t="s">
        <v>357</v>
      </c>
      <c r="D121" s="1" t="s">
        <v>192</v>
      </c>
      <c r="E121" s="3" t="s">
        <v>192</v>
      </c>
      <c r="F121" s="3" t="s">
        <v>192</v>
      </c>
      <c r="G121" s="3" t="s">
        <v>192</v>
      </c>
      <c r="H121" s="3">
        <v>1</v>
      </c>
      <c r="I121" s="3" t="s">
        <v>192</v>
      </c>
      <c r="J121" s="3" t="s">
        <v>192</v>
      </c>
      <c r="K121" s="3" t="s">
        <v>192</v>
      </c>
      <c r="L121" s="3" t="s">
        <v>192</v>
      </c>
      <c r="M121" s="3" t="s">
        <v>192</v>
      </c>
      <c r="N121" s="3" t="s">
        <v>192</v>
      </c>
      <c r="O121" s="3" t="s">
        <v>192</v>
      </c>
      <c r="P121" s="3" t="s">
        <v>192</v>
      </c>
      <c r="Q121" s="3" t="s">
        <v>192</v>
      </c>
      <c r="R121" s="3" t="s">
        <v>192</v>
      </c>
      <c r="S121" s="3" t="s">
        <v>192</v>
      </c>
      <c r="T121" s="3" t="s">
        <v>192</v>
      </c>
      <c r="U121" s="3" t="s">
        <v>192</v>
      </c>
      <c r="V121" s="3" t="s">
        <v>192</v>
      </c>
      <c r="W121" s="3" t="s">
        <v>192</v>
      </c>
      <c r="X121" s="3" t="s">
        <v>192</v>
      </c>
      <c r="Y121" s="3" t="s">
        <v>192</v>
      </c>
      <c r="Z121" s="3" t="s">
        <v>192</v>
      </c>
      <c r="AA121" s="3" t="s">
        <v>192</v>
      </c>
      <c r="AB121" s="3" t="s">
        <v>192</v>
      </c>
      <c r="AC121" s="3" t="s">
        <v>192</v>
      </c>
      <c r="AD121" s="3" t="s">
        <v>192</v>
      </c>
      <c r="AE121" s="3" t="s">
        <v>192</v>
      </c>
      <c r="AF121" s="3" t="s">
        <v>192</v>
      </c>
      <c r="AG121" s="3" t="s">
        <v>192</v>
      </c>
      <c r="AH121" s="3" t="s">
        <v>192</v>
      </c>
      <c r="AI121" s="3" t="s">
        <v>192</v>
      </c>
      <c r="AJ121" s="3" t="s">
        <v>192</v>
      </c>
      <c r="AK121" s="3" t="s">
        <v>192</v>
      </c>
      <c r="AL121" s="3" t="s">
        <v>192</v>
      </c>
      <c r="AM121" s="3" t="s">
        <v>192</v>
      </c>
      <c r="AN121" s="3" t="s">
        <v>192</v>
      </c>
      <c r="AO121" s="3" t="s">
        <v>192</v>
      </c>
      <c r="AP121" s="3" t="s">
        <v>192</v>
      </c>
      <c r="AQ121" s="3" t="s">
        <v>192</v>
      </c>
      <c r="AR121" s="3" t="s">
        <v>192</v>
      </c>
      <c r="AS121" s="3" t="s">
        <v>192</v>
      </c>
      <c r="AT121" s="3" t="s">
        <v>192</v>
      </c>
      <c r="AU121" s="3" t="s">
        <v>192</v>
      </c>
      <c r="AV121" s="3" t="s">
        <v>192</v>
      </c>
      <c r="AW121" s="3" t="s">
        <v>192</v>
      </c>
      <c r="AX121" s="3" t="s">
        <v>192</v>
      </c>
      <c r="AY121" s="3" t="s">
        <v>192</v>
      </c>
      <c r="AZ121" s="3" t="s">
        <v>192</v>
      </c>
      <c r="BA121" s="3" t="s">
        <v>192</v>
      </c>
      <c r="BB121" s="3" t="s">
        <v>192</v>
      </c>
      <c r="BC121" s="3" t="s">
        <v>192</v>
      </c>
      <c r="BD121" s="3" t="s">
        <v>192</v>
      </c>
      <c r="BE121" s="3" t="s">
        <v>192</v>
      </c>
      <c r="BF121" s="3" t="s">
        <v>192</v>
      </c>
      <c r="BG121" s="3" t="s">
        <v>192</v>
      </c>
      <c r="BH121" s="3" t="s">
        <v>192</v>
      </c>
      <c r="BI121" s="3" t="s">
        <v>192</v>
      </c>
      <c r="BJ121" s="3" t="s">
        <v>192</v>
      </c>
      <c r="BK121" s="3" t="s">
        <v>192</v>
      </c>
      <c r="BL121" s="3" t="s">
        <v>192</v>
      </c>
      <c r="BM121" s="3" t="s">
        <v>192</v>
      </c>
      <c r="BN121" s="3" t="s">
        <v>192</v>
      </c>
      <c r="BO121" s="3" t="s">
        <v>192</v>
      </c>
      <c r="BP121" s="3" t="s">
        <v>192</v>
      </c>
      <c r="BQ121" s="3" t="s">
        <v>192</v>
      </c>
      <c r="BR121" s="3" t="s">
        <v>192</v>
      </c>
      <c r="BS121" s="3" t="s">
        <v>192</v>
      </c>
      <c r="BT121" s="3" t="s">
        <v>192</v>
      </c>
      <c r="BU121" s="3" t="s">
        <v>192</v>
      </c>
      <c r="BV121" s="3" t="s">
        <v>192</v>
      </c>
      <c r="BW121" s="3" t="s">
        <v>192</v>
      </c>
      <c r="BX121" s="3" t="s">
        <v>192</v>
      </c>
      <c r="BY121" s="3" t="s">
        <v>192</v>
      </c>
      <c r="BZ121" s="3" t="s">
        <v>192</v>
      </c>
      <c r="CA121" s="3" t="s">
        <v>192</v>
      </c>
      <c r="CB121" s="3" t="s">
        <v>192</v>
      </c>
      <c r="CC121" s="3" t="s">
        <v>192</v>
      </c>
      <c r="CD121" s="3" t="s">
        <v>192</v>
      </c>
      <c r="CE121" s="3" t="s">
        <v>192</v>
      </c>
      <c r="CF121" s="3" t="s">
        <v>192</v>
      </c>
      <c r="CG121" s="3">
        <v>3</v>
      </c>
      <c r="CH121" s="3" t="s">
        <v>192</v>
      </c>
      <c r="CI121" s="3" t="s">
        <v>192</v>
      </c>
      <c r="CJ121" s="3" t="s">
        <v>192</v>
      </c>
      <c r="CK121" s="3" t="s">
        <v>192</v>
      </c>
      <c r="CL121" s="3" t="s">
        <v>192</v>
      </c>
      <c r="CM121" s="3" t="s">
        <v>192</v>
      </c>
      <c r="CN121" s="3" t="s">
        <v>192</v>
      </c>
      <c r="CO121" s="3" t="s">
        <v>192</v>
      </c>
      <c r="CP121" s="3" t="s">
        <v>192</v>
      </c>
      <c r="CQ121" s="3" t="s">
        <v>192</v>
      </c>
      <c r="CR121" s="3" t="s">
        <v>192</v>
      </c>
      <c r="CS121" s="3" t="s">
        <v>192</v>
      </c>
      <c r="CT121" s="1">
        <f>SUM(Table7[[#This Row],[Acyl_amino_acids]:[T3PKS]])</f>
        <v>4</v>
      </c>
      <c r="CU121" s="3" t="s">
        <v>192</v>
      </c>
      <c r="CW121" s="1" t="str">
        <f>Table7[[#This Row],[NRPS]]</f>
        <v>-</v>
      </c>
      <c r="CX121" s="1">
        <f>SUM(CP121,CR121,CS121,Table7[[#This Row],[T1PKS, T3PKS]])</f>
        <v>0</v>
      </c>
      <c r="CY121" s="1">
        <f t="shared" si="1"/>
        <v>0</v>
      </c>
      <c r="CZ121" s="1">
        <f>Table7[[#This Row],[Terpene]]</f>
        <v>3</v>
      </c>
      <c r="DA121" s="1">
        <f>SUM(Table7[[#This Row],[Thiopeptide]],BH121,BF121,BE121,BC121,AZ121,AX121,AW121,AJ121,AH121,N121,L121,J121,H121,I121,K121,R121,Q121,Table7[[#This Row],[Cyanobactin, LAP]])</f>
        <v>1</v>
      </c>
      <c r="DB121" s="1">
        <f>SUM(CO121,CN121,CL121,CK121,CJ121,CI121,CH121,CF121,CE121,CD121,CB121,CA121,BZ121,BY121,BX121,BW121,BV121,BT121,BR121,BQ121,BP121,BO121,BM121,BK121,BJ121,BI121,BG121,BD121,BB121,BA121,AY121,AV121,AU121,AT121,AS121,AR121,AQ121,AP121,AO121,AN121,AM121,AL121,AK121,AG121,AF121,AE121,AD121,AC121,AB121,AA121,Z121,Y121,X121,W121,V121,U121,T121,S121,P121,O121,M121,Table7[[#This Row],[Acyl_amino_acids]],E121,F121,G121,)</f>
        <v>0</v>
      </c>
    </row>
    <row r="122" spans="1:106" x14ac:dyDescent="0.25">
      <c r="A122" s="9" t="s">
        <v>762</v>
      </c>
      <c r="B122" s="1" t="s">
        <v>435</v>
      </c>
      <c r="C122" s="1" t="s">
        <v>358</v>
      </c>
      <c r="D122" s="3" t="s">
        <v>192</v>
      </c>
      <c r="E122" s="3" t="s">
        <v>192</v>
      </c>
      <c r="F122" s="3" t="s">
        <v>192</v>
      </c>
      <c r="G122" s="3" t="s">
        <v>192</v>
      </c>
      <c r="H122" s="3">
        <v>1</v>
      </c>
      <c r="I122" s="3" t="s">
        <v>192</v>
      </c>
      <c r="J122" s="3" t="s">
        <v>192</v>
      </c>
      <c r="K122" s="3" t="s">
        <v>192</v>
      </c>
      <c r="L122" s="3" t="s">
        <v>192</v>
      </c>
      <c r="M122" s="3" t="s">
        <v>192</v>
      </c>
      <c r="N122" s="3" t="s">
        <v>192</v>
      </c>
      <c r="O122" s="3" t="s">
        <v>192</v>
      </c>
      <c r="P122" s="3" t="s">
        <v>192</v>
      </c>
      <c r="Q122" s="3" t="s">
        <v>192</v>
      </c>
      <c r="R122" s="3" t="s">
        <v>192</v>
      </c>
      <c r="S122" s="3" t="s">
        <v>192</v>
      </c>
      <c r="T122" s="3" t="s">
        <v>192</v>
      </c>
      <c r="U122" s="3" t="s">
        <v>192</v>
      </c>
      <c r="V122" s="3" t="s">
        <v>192</v>
      </c>
      <c r="W122" s="3" t="s">
        <v>192</v>
      </c>
      <c r="X122" s="3" t="s">
        <v>192</v>
      </c>
      <c r="Y122" s="3" t="s">
        <v>192</v>
      </c>
      <c r="Z122" s="3" t="s">
        <v>192</v>
      </c>
      <c r="AA122" s="3" t="s">
        <v>192</v>
      </c>
      <c r="AB122" s="3" t="s">
        <v>192</v>
      </c>
      <c r="AC122" s="3" t="s">
        <v>192</v>
      </c>
      <c r="AD122" s="3" t="s">
        <v>192</v>
      </c>
      <c r="AE122" s="3" t="s">
        <v>192</v>
      </c>
      <c r="AF122" s="3" t="s">
        <v>192</v>
      </c>
      <c r="AG122" s="3" t="s">
        <v>192</v>
      </c>
      <c r="AH122" s="3" t="s">
        <v>192</v>
      </c>
      <c r="AI122" s="3" t="s">
        <v>192</v>
      </c>
      <c r="AJ122" s="3" t="s">
        <v>192</v>
      </c>
      <c r="AK122" s="3" t="s">
        <v>192</v>
      </c>
      <c r="AL122" s="3" t="s">
        <v>192</v>
      </c>
      <c r="AM122" s="3" t="s">
        <v>192</v>
      </c>
      <c r="AN122" s="3" t="s">
        <v>192</v>
      </c>
      <c r="AO122" s="3" t="s">
        <v>192</v>
      </c>
      <c r="AP122" s="3" t="s">
        <v>192</v>
      </c>
      <c r="AQ122" s="3" t="s">
        <v>192</v>
      </c>
      <c r="AR122" s="3" t="s">
        <v>192</v>
      </c>
      <c r="AS122" s="3" t="s">
        <v>192</v>
      </c>
      <c r="AT122" s="3" t="s">
        <v>192</v>
      </c>
      <c r="AU122" s="3" t="s">
        <v>192</v>
      </c>
      <c r="AV122" s="3" t="s">
        <v>192</v>
      </c>
      <c r="AW122" s="3" t="s">
        <v>192</v>
      </c>
      <c r="AX122" s="3" t="s">
        <v>192</v>
      </c>
      <c r="AY122" s="3" t="s">
        <v>192</v>
      </c>
      <c r="AZ122" s="3" t="s">
        <v>192</v>
      </c>
      <c r="BA122" s="3" t="s">
        <v>192</v>
      </c>
      <c r="BB122" s="3" t="s">
        <v>192</v>
      </c>
      <c r="BC122" s="3" t="s">
        <v>192</v>
      </c>
      <c r="BD122" s="3" t="s">
        <v>192</v>
      </c>
      <c r="BE122" s="3" t="s">
        <v>192</v>
      </c>
      <c r="BF122" s="3" t="s">
        <v>192</v>
      </c>
      <c r="BG122" s="3" t="s">
        <v>192</v>
      </c>
      <c r="BH122" s="3" t="s">
        <v>192</v>
      </c>
      <c r="BI122" s="3" t="s">
        <v>192</v>
      </c>
      <c r="BJ122" s="3" t="s">
        <v>192</v>
      </c>
      <c r="BK122" s="3" t="s">
        <v>192</v>
      </c>
      <c r="BL122" s="3" t="s">
        <v>192</v>
      </c>
      <c r="BM122" s="3" t="s">
        <v>192</v>
      </c>
      <c r="BN122" s="3" t="s">
        <v>192</v>
      </c>
      <c r="BO122" s="3" t="s">
        <v>192</v>
      </c>
      <c r="BP122" s="3" t="s">
        <v>192</v>
      </c>
      <c r="BQ122" s="3" t="s">
        <v>192</v>
      </c>
      <c r="BR122" s="3" t="s">
        <v>192</v>
      </c>
      <c r="BS122" s="3" t="s">
        <v>192</v>
      </c>
      <c r="BT122" s="3" t="s">
        <v>192</v>
      </c>
      <c r="BU122" s="3" t="s">
        <v>192</v>
      </c>
      <c r="BV122" s="3" t="s">
        <v>192</v>
      </c>
      <c r="BW122" s="3" t="s">
        <v>192</v>
      </c>
      <c r="BX122" s="3" t="s">
        <v>192</v>
      </c>
      <c r="BY122" s="3" t="s">
        <v>192</v>
      </c>
      <c r="BZ122" s="3" t="s">
        <v>192</v>
      </c>
      <c r="CA122" s="3" t="s">
        <v>192</v>
      </c>
      <c r="CB122" s="3" t="s">
        <v>192</v>
      </c>
      <c r="CC122" s="3" t="s">
        <v>192</v>
      </c>
      <c r="CD122" s="3" t="s">
        <v>192</v>
      </c>
      <c r="CE122" s="3" t="s">
        <v>192</v>
      </c>
      <c r="CF122" s="3" t="s">
        <v>192</v>
      </c>
      <c r="CG122" s="3">
        <v>3</v>
      </c>
      <c r="CH122" s="3" t="s">
        <v>192</v>
      </c>
      <c r="CI122" s="3" t="s">
        <v>192</v>
      </c>
      <c r="CJ122" s="3" t="s">
        <v>192</v>
      </c>
      <c r="CK122" s="3" t="s">
        <v>192</v>
      </c>
      <c r="CL122" s="3" t="s">
        <v>192</v>
      </c>
      <c r="CM122" s="3" t="s">
        <v>192</v>
      </c>
      <c r="CN122" s="3" t="s">
        <v>192</v>
      </c>
      <c r="CO122" s="3" t="s">
        <v>192</v>
      </c>
      <c r="CP122" s="3" t="s">
        <v>192</v>
      </c>
      <c r="CQ122" s="3" t="s">
        <v>192</v>
      </c>
      <c r="CR122" s="3" t="s">
        <v>192</v>
      </c>
      <c r="CS122" s="3" t="s">
        <v>192</v>
      </c>
      <c r="CT122" s="1">
        <f>SUM(Table7[[#This Row],[Acyl_amino_acids]:[T3PKS]])</f>
        <v>4</v>
      </c>
      <c r="CU122" s="3" t="s">
        <v>192</v>
      </c>
      <c r="CW122" s="1" t="str">
        <f>Table7[[#This Row],[NRPS]]</f>
        <v>-</v>
      </c>
      <c r="CX122" s="1">
        <f>SUM(CP122,CR122,CS122,Table7[[#This Row],[T1PKS, T3PKS]])</f>
        <v>0</v>
      </c>
      <c r="CY122" s="1">
        <f t="shared" si="1"/>
        <v>0</v>
      </c>
      <c r="CZ122" s="1">
        <f>Table7[[#This Row],[Terpene]]</f>
        <v>3</v>
      </c>
      <c r="DA122" s="1">
        <f>SUM(Table7[[#This Row],[Thiopeptide]],BH122,BF122,BE122,BC122,AZ122,AX122,AW122,AJ122,AH122,N122,L122,J122,H122,I122,K122,R122,Q122,Table7[[#This Row],[Cyanobactin, LAP]])</f>
        <v>1</v>
      </c>
      <c r="DB122" s="1">
        <f>SUM(CO122,CN122,CL122,CK122,CJ122,CI122,CH122,CF122,CE122,CD122,CB122,CA122,BZ122,BY122,BX122,BW122,BV122,BT122,BR122,BQ122,BP122,BO122,BM122,BK122,BJ122,BI122,BG122,BD122,BB122,BA122,AY122,AV122,AU122,AT122,AS122,AR122,AQ122,AP122,AO122,AN122,AM122,AL122,AK122,AG122,AF122,AE122,AD122,AC122,AB122,AA122,Z122,Y122,X122,W122,V122,U122,T122,S122,P122,O122,M122,Table7[[#This Row],[Acyl_amino_acids]],E122,F122,G122,)</f>
        <v>0</v>
      </c>
    </row>
    <row r="123" spans="1:106" x14ac:dyDescent="0.25">
      <c r="A123" s="9" t="s">
        <v>763</v>
      </c>
      <c r="B123" s="1" t="s">
        <v>435</v>
      </c>
      <c r="C123" s="1" t="s">
        <v>359</v>
      </c>
      <c r="D123" s="3" t="s">
        <v>192</v>
      </c>
      <c r="E123" s="3" t="s">
        <v>192</v>
      </c>
      <c r="F123" s="3" t="s">
        <v>192</v>
      </c>
      <c r="G123" s="3" t="s">
        <v>192</v>
      </c>
      <c r="H123" s="3">
        <v>1</v>
      </c>
      <c r="I123" s="3" t="s">
        <v>192</v>
      </c>
      <c r="J123" s="3" t="s">
        <v>192</v>
      </c>
      <c r="K123" s="3" t="s">
        <v>192</v>
      </c>
      <c r="L123" s="3" t="s">
        <v>192</v>
      </c>
      <c r="M123" s="3" t="s">
        <v>192</v>
      </c>
      <c r="N123" s="3" t="s">
        <v>192</v>
      </c>
      <c r="O123" s="3" t="s">
        <v>192</v>
      </c>
      <c r="P123" s="3" t="s">
        <v>192</v>
      </c>
      <c r="Q123" s="3" t="s">
        <v>192</v>
      </c>
      <c r="R123" s="3" t="s">
        <v>192</v>
      </c>
      <c r="S123" s="3" t="s">
        <v>192</v>
      </c>
      <c r="T123" s="3" t="s">
        <v>192</v>
      </c>
      <c r="U123" s="3" t="s">
        <v>192</v>
      </c>
      <c r="V123" s="3" t="s">
        <v>192</v>
      </c>
      <c r="W123" s="3" t="s">
        <v>192</v>
      </c>
      <c r="X123" s="3" t="s">
        <v>192</v>
      </c>
      <c r="Y123" s="3" t="s">
        <v>192</v>
      </c>
      <c r="Z123" s="3" t="s">
        <v>192</v>
      </c>
      <c r="AA123" s="3" t="s">
        <v>192</v>
      </c>
      <c r="AB123" s="3" t="s">
        <v>192</v>
      </c>
      <c r="AC123" s="3" t="s">
        <v>192</v>
      </c>
      <c r="AD123" s="3" t="s">
        <v>192</v>
      </c>
      <c r="AE123" s="3" t="s">
        <v>192</v>
      </c>
      <c r="AF123" s="3" t="s">
        <v>192</v>
      </c>
      <c r="AG123" s="3" t="s">
        <v>192</v>
      </c>
      <c r="AH123" s="3" t="s">
        <v>192</v>
      </c>
      <c r="AI123" s="3" t="s">
        <v>192</v>
      </c>
      <c r="AJ123" s="3" t="s">
        <v>192</v>
      </c>
      <c r="AK123" s="3" t="s">
        <v>192</v>
      </c>
      <c r="AL123" s="3" t="s">
        <v>192</v>
      </c>
      <c r="AM123" s="3" t="s">
        <v>192</v>
      </c>
      <c r="AN123" s="3" t="s">
        <v>192</v>
      </c>
      <c r="AO123" s="3" t="s">
        <v>192</v>
      </c>
      <c r="AP123" s="3" t="s">
        <v>192</v>
      </c>
      <c r="AQ123" s="3" t="s">
        <v>192</v>
      </c>
      <c r="AR123" s="3" t="s">
        <v>192</v>
      </c>
      <c r="AS123" s="3" t="s">
        <v>192</v>
      </c>
      <c r="AT123" s="3" t="s">
        <v>192</v>
      </c>
      <c r="AU123" s="3" t="s">
        <v>192</v>
      </c>
      <c r="AV123" s="3" t="s">
        <v>192</v>
      </c>
      <c r="AW123" s="3" t="s">
        <v>192</v>
      </c>
      <c r="AX123" s="3" t="s">
        <v>192</v>
      </c>
      <c r="AY123" s="3" t="s">
        <v>192</v>
      </c>
      <c r="AZ123" s="3" t="s">
        <v>192</v>
      </c>
      <c r="BA123" s="3" t="s">
        <v>192</v>
      </c>
      <c r="BB123" s="3" t="s">
        <v>192</v>
      </c>
      <c r="BC123" s="3" t="s">
        <v>192</v>
      </c>
      <c r="BD123" s="3" t="s">
        <v>192</v>
      </c>
      <c r="BE123" s="3" t="s">
        <v>192</v>
      </c>
      <c r="BF123" s="3" t="s">
        <v>192</v>
      </c>
      <c r="BG123" s="3" t="s">
        <v>192</v>
      </c>
      <c r="BH123" s="3" t="s">
        <v>192</v>
      </c>
      <c r="BI123" s="3" t="s">
        <v>192</v>
      </c>
      <c r="BJ123" s="3" t="s">
        <v>192</v>
      </c>
      <c r="BK123" s="3" t="s">
        <v>192</v>
      </c>
      <c r="BL123" s="3" t="s">
        <v>192</v>
      </c>
      <c r="BM123" s="3" t="s">
        <v>192</v>
      </c>
      <c r="BN123" s="3" t="s">
        <v>192</v>
      </c>
      <c r="BO123" s="3" t="s">
        <v>192</v>
      </c>
      <c r="BP123" s="3" t="s">
        <v>192</v>
      </c>
      <c r="BQ123" s="3" t="s">
        <v>192</v>
      </c>
      <c r="BR123" s="3" t="s">
        <v>192</v>
      </c>
      <c r="BS123" s="3" t="s">
        <v>192</v>
      </c>
      <c r="BT123" s="3" t="s">
        <v>192</v>
      </c>
      <c r="BU123" s="3" t="s">
        <v>192</v>
      </c>
      <c r="BV123" s="3" t="s">
        <v>192</v>
      </c>
      <c r="BW123" s="3" t="s">
        <v>192</v>
      </c>
      <c r="BX123" s="3" t="s">
        <v>192</v>
      </c>
      <c r="BY123" s="3" t="s">
        <v>192</v>
      </c>
      <c r="BZ123" s="3" t="s">
        <v>192</v>
      </c>
      <c r="CA123" s="3" t="s">
        <v>192</v>
      </c>
      <c r="CB123" s="3" t="s">
        <v>192</v>
      </c>
      <c r="CC123" s="3" t="s">
        <v>192</v>
      </c>
      <c r="CD123" s="3" t="s">
        <v>192</v>
      </c>
      <c r="CE123" s="3" t="s">
        <v>192</v>
      </c>
      <c r="CF123" s="3" t="s">
        <v>192</v>
      </c>
      <c r="CG123" s="3">
        <v>3</v>
      </c>
      <c r="CH123" s="3" t="s">
        <v>192</v>
      </c>
      <c r="CI123" s="3" t="s">
        <v>192</v>
      </c>
      <c r="CJ123" s="3" t="s">
        <v>192</v>
      </c>
      <c r="CK123" s="3" t="s">
        <v>192</v>
      </c>
      <c r="CL123" s="3" t="s">
        <v>192</v>
      </c>
      <c r="CM123" s="3" t="s">
        <v>192</v>
      </c>
      <c r="CN123" s="3" t="s">
        <v>192</v>
      </c>
      <c r="CO123" s="3" t="s">
        <v>192</v>
      </c>
      <c r="CP123" s="3" t="s">
        <v>192</v>
      </c>
      <c r="CQ123" s="3" t="s">
        <v>192</v>
      </c>
      <c r="CR123" s="3" t="s">
        <v>192</v>
      </c>
      <c r="CS123" s="3" t="s">
        <v>192</v>
      </c>
      <c r="CT123" s="1">
        <f>SUM(Table7[[#This Row],[Acyl_amino_acids]:[T3PKS]])</f>
        <v>4</v>
      </c>
      <c r="CU123" s="3" t="s">
        <v>192</v>
      </c>
      <c r="CW123" s="1" t="str">
        <f>Table7[[#This Row],[NRPS]]</f>
        <v>-</v>
      </c>
      <c r="CX123" s="1">
        <f>SUM(CP123,CR123,CS123,Table7[[#This Row],[T1PKS, T3PKS]])</f>
        <v>0</v>
      </c>
      <c r="CY123" s="1">
        <f t="shared" si="1"/>
        <v>0</v>
      </c>
      <c r="CZ123" s="1">
        <f>Table7[[#This Row],[Terpene]]</f>
        <v>3</v>
      </c>
      <c r="DA123" s="1">
        <f>SUM(Table7[[#This Row],[Thiopeptide]],BH123,BF123,BE123,BC123,AZ123,AX123,AW123,AJ123,AH123,N123,L123,J123,H123,I123,K123,R123,Q123,Table7[[#This Row],[Cyanobactin, LAP]])</f>
        <v>1</v>
      </c>
      <c r="DB123" s="1">
        <f>SUM(CO123,CN123,CL123,CK123,CJ123,CI123,CH123,CF123,CE123,CD123,CB123,CA123,BZ123,BY123,BX123,BW123,BV123,BT123,BR123,BQ123,BP123,BO123,BM123,BK123,BJ123,BI123,BG123,BD123,BB123,BA123,AY123,AV123,AU123,AT123,AS123,AR123,AQ123,AP123,AO123,AN123,AM123,AL123,AK123,AG123,AF123,AE123,AD123,AC123,AB123,AA123,Z123,Y123,X123,W123,V123,U123,T123,S123,P123,O123,M123,Table7[[#This Row],[Acyl_amino_acids]],E123,F123,G123,)</f>
        <v>0</v>
      </c>
    </row>
    <row r="124" spans="1:106" x14ac:dyDescent="0.25">
      <c r="A124" s="9" t="s">
        <v>764</v>
      </c>
      <c r="B124" s="1" t="s">
        <v>435</v>
      </c>
      <c r="C124" s="1" t="s">
        <v>360</v>
      </c>
      <c r="D124" s="3" t="s">
        <v>192</v>
      </c>
      <c r="E124" s="3" t="s">
        <v>192</v>
      </c>
      <c r="F124" s="3" t="s">
        <v>192</v>
      </c>
      <c r="G124" s="3" t="s">
        <v>192</v>
      </c>
      <c r="H124" s="3">
        <v>1</v>
      </c>
      <c r="I124" s="3" t="s">
        <v>192</v>
      </c>
      <c r="J124" s="3" t="s">
        <v>192</v>
      </c>
      <c r="K124" s="3" t="s">
        <v>192</v>
      </c>
      <c r="L124" s="3" t="s">
        <v>192</v>
      </c>
      <c r="M124" s="3" t="s">
        <v>192</v>
      </c>
      <c r="N124" s="3" t="s">
        <v>192</v>
      </c>
      <c r="O124" s="3" t="s">
        <v>192</v>
      </c>
      <c r="P124" s="3" t="s">
        <v>192</v>
      </c>
      <c r="Q124" s="3" t="s">
        <v>192</v>
      </c>
      <c r="R124" s="3" t="s">
        <v>192</v>
      </c>
      <c r="S124" s="3" t="s">
        <v>192</v>
      </c>
      <c r="T124" s="3" t="s">
        <v>192</v>
      </c>
      <c r="U124" s="3" t="s">
        <v>192</v>
      </c>
      <c r="V124" s="3" t="s">
        <v>192</v>
      </c>
      <c r="W124" s="3" t="s">
        <v>192</v>
      </c>
      <c r="X124" s="3" t="s">
        <v>192</v>
      </c>
      <c r="Y124" s="3" t="s">
        <v>192</v>
      </c>
      <c r="Z124" s="3" t="s">
        <v>192</v>
      </c>
      <c r="AA124" s="3" t="s">
        <v>192</v>
      </c>
      <c r="AB124" s="3" t="s">
        <v>192</v>
      </c>
      <c r="AC124" s="3" t="s">
        <v>192</v>
      </c>
      <c r="AD124" s="3" t="s">
        <v>192</v>
      </c>
      <c r="AE124" s="3" t="s">
        <v>192</v>
      </c>
      <c r="AF124" s="3" t="s">
        <v>192</v>
      </c>
      <c r="AG124" s="3" t="s">
        <v>192</v>
      </c>
      <c r="AH124" s="3" t="s">
        <v>192</v>
      </c>
      <c r="AI124" s="3" t="s">
        <v>192</v>
      </c>
      <c r="AJ124" s="3" t="s">
        <v>192</v>
      </c>
      <c r="AK124" s="3" t="s">
        <v>192</v>
      </c>
      <c r="AL124" s="3" t="s">
        <v>192</v>
      </c>
      <c r="AM124" s="3" t="s">
        <v>192</v>
      </c>
      <c r="AN124" s="3" t="s">
        <v>192</v>
      </c>
      <c r="AO124" s="3" t="s">
        <v>192</v>
      </c>
      <c r="AP124" s="3" t="s">
        <v>192</v>
      </c>
      <c r="AQ124" s="3" t="s">
        <v>192</v>
      </c>
      <c r="AR124" s="3" t="s">
        <v>192</v>
      </c>
      <c r="AS124" s="3" t="s">
        <v>192</v>
      </c>
      <c r="AT124" s="3" t="s">
        <v>192</v>
      </c>
      <c r="AU124" s="3" t="s">
        <v>192</v>
      </c>
      <c r="AV124" s="3" t="s">
        <v>192</v>
      </c>
      <c r="AW124" s="3" t="s">
        <v>192</v>
      </c>
      <c r="AX124" s="3" t="s">
        <v>192</v>
      </c>
      <c r="AY124" s="3" t="s">
        <v>192</v>
      </c>
      <c r="AZ124" s="3" t="s">
        <v>192</v>
      </c>
      <c r="BA124" s="3" t="s">
        <v>192</v>
      </c>
      <c r="BB124" s="3" t="s">
        <v>192</v>
      </c>
      <c r="BC124" s="3" t="s">
        <v>192</v>
      </c>
      <c r="BD124" s="3" t="s">
        <v>192</v>
      </c>
      <c r="BE124" s="3" t="s">
        <v>192</v>
      </c>
      <c r="BF124" s="3" t="s">
        <v>192</v>
      </c>
      <c r="BG124" s="3" t="s">
        <v>192</v>
      </c>
      <c r="BH124" s="3" t="s">
        <v>192</v>
      </c>
      <c r="BI124" s="3" t="s">
        <v>192</v>
      </c>
      <c r="BJ124" s="3" t="s">
        <v>192</v>
      </c>
      <c r="BK124" s="3" t="s">
        <v>192</v>
      </c>
      <c r="BL124" s="3" t="s">
        <v>192</v>
      </c>
      <c r="BM124" s="3" t="s">
        <v>192</v>
      </c>
      <c r="BN124" s="3" t="s">
        <v>192</v>
      </c>
      <c r="BO124" s="3" t="s">
        <v>192</v>
      </c>
      <c r="BP124" s="3" t="s">
        <v>192</v>
      </c>
      <c r="BQ124" s="3" t="s">
        <v>192</v>
      </c>
      <c r="BR124" s="3" t="s">
        <v>192</v>
      </c>
      <c r="BS124" s="3" t="s">
        <v>192</v>
      </c>
      <c r="BT124" s="3" t="s">
        <v>192</v>
      </c>
      <c r="BU124" s="3" t="s">
        <v>192</v>
      </c>
      <c r="BV124" s="3" t="s">
        <v>192</v>
      </c>
      <c r="BW124" s="3" t="s">
        <v>192</v>
      </c>
      <c r="BX124" s="3" t="s">
        <v>192</v>
      </c>
      <c r="BY124" s="3" t="s">
        <v>192</v>
      </c>
      <c r="BZ124" s="3" t="s">
        <v>192</v>
      </c>
      <c r="CA124" s="3" t="s">
        <v>192</v>
      </c>
      <c r="CB124" s="3" t="s">
        <v>192</v>
      </c>
      <c r="CC124" s="3" t="s">
        <v>192</v>
      </c>
      <c r="CD124" s="3" t="s">
        <v>192</v>
      </c>
      <c r="CE124" s="3" t="s">
        <v>192</v>
      </c>
      <c r="CF124" s="3" t="s">
        <v>192</v>
      </c>
      <c r="CG124" s="3">
        <v>3</v>
      </c>
      <c r="CH124" s="3" t="s">
        <v>192</v>
      </c>
      <c r="CI124" s="3" t="s">
        <v>192</v>
      </c>
      <c r="CJ124" s="3" t="s">
        <v>192</v>
      </c>
      <c r="CK124" s="3" t="s">
        <v>192</v>
      </c>
      <c r="CL124" s="3" t="s">
        <v>192</v>
      </c>
      <c r="CM124" s="3" t="s">
        <v>192</v>
      </c>
      <c r="CN124" s="3" t="s">
        <v>192</v>
      </c>
      <c r="CO124" s="3" t="s">
        <v>192</v>
      </c>
      <c r="CP124" s="3" t="s">
        <v>192</v>
      </c>
      <c r="CQ124" s="3" t="s">
        <v>192</v>
      </c>
      <c r="CR124" s="3" t="s">
        <v>192</v>
      </c>
      <c r="CS124" s="3" t="s">
        <v>192</v>
      </c>
      <c r="CT124" s="1">
        <f>SUM(Table7[[#This Row],[Acyl_amino_acids]:[T3PKS]])</f>
        <v>4</v>
      </c>
      <c r="CU124" s="3" t="s">
        <v>192</v>
      </c>
      <c r="CW124" s="1" t="str">
        <f>Table7[[#This Row],[NRPS]]</f>
        <v>-</v>
      </c>
      <c r="CX124" s="1">
        <f>SUM(CP124,CR124,CS124,Table7[[#This Row],[T1PKS, T3PKS]])</f>
        <v>0</v>
      </c>
      <c r="CY124" s="1">
        <f t="shared" si="1"/>
        <v>0</v>
      </c>
      <c r="CZ124" s="1">
        <f>Table7[[#This Row],[Terpene]]</f>
        <v>3</v>
      </c>
      <c r="DA124" s="1">
        <f>SUM(Table7[[#This Row],[Thiopeptide]],BH124,BF124,BE124,BC124,AZ124,AX124,AW124,AJ124,AH124,N124,L124,J124,H124,I124,K124,R124,Q124,Table7[[#This Row],[Cyanobactin, LAP]])</f>
        <v>1</v>
      </c>
      <c r="DB124" s="1">
        <f>SUM(CO124,CN124,CL124,CK124,CJ124,CI124,CH124,CF124,CE124,CD124,CB124,CA124,BZ124,BY124,BX124,BW124,BV124,BT124,BR124,BQ124,BP124,BO124,BM124,BK124,BJ124,BI124,BG124,BD124,BB124,BA124,AY124,AV124,AU124,AT124,AS124,AR124,AQ124,AP124,AO124,AN124,AM124,AL124,AK124,AG124,AF124,AE124,AD124,AC124,AB124,AA124,Z124,Y124,X124,W124,V124,U124,T124,S124,P124,O124,M124,Table7[[#This Row],[Acyl_amino_acids]],E124,F124,G124,)</f>
        <v>0</v>
      </c>
    </row>
    <row r="125" spans="1:106" x14ac:dyDescent="0.25">
      <c r="A125" s="9" t="s">
        <v>660</v>
      </c>
      <c r="B125" s="1" t="s">
        <v>435</v>
      </c>
      <c r="C125" s="1" t="s">
        <v>361</v>
      </c>
      <c r="D125" s="3" t="s">
        <v>192</v>
      </c>
      <c r="E125" s="3" t="s">
        <v>192</v>
      </c>
      <c r="F125" s="3" t="s">
        <v>192</v>
      </c>
      <c r="G125" s="3" t="s">
        <v>192</v>
      </c>
      <c r="H125" s="3" t="s">
        <v>192</v>
      </c>
      <c r="I125" s="3" t="s">
        <v>192</v>
      </c>
      <c r="J125" s="3" t="s">
        <v>192</v>
      </c>
      <c r="K125" s="3" t="s">
        <v>192</v>
      </c>
      <c r="L125" s="3" t="s">
        <v>192</v>
      </c>
      <c r="M125" s="3" t="s">
        <v>192</v>
      </c>
      <c r="N125" s="3" t="s">
        <v>192</v>
      </c>
      <c r="O125" s="3" t="s">
        <v>192</v>
      </c>
      <c r="P125" s="3" t="s">
        <v>192</v>
      </c>
      <c r="Q125" s="3" t="s">
        <v>192</v>
      </c>
      <c r="R125" s="3" t="s">
        <v>192</v>
      </c>
      <c r="S125" s="3" t="s">
        <v>192</v>
      </c>
      <c r="T125" s="3" t="s">
        <v>192</v>
      </c>
      <c r="U125" s="3" t="s">
        <v>192</v>
      </c>
      <c r="V125" s="3" t="s">
        <v>192</v>
      </c>
      <c r="W125" s="3" t="s">
        <v>192</v>
      </c>
      <c r="X125" s="3" t="s">
        <v>192</v>
      </c>
      <c r="Y125" s="3" t="s">
        <v>192</v>
      </c>
      <c r="Z125" s="3" t="s">
        <v>192</v>
      </c>
      <c r="AA125" s="3" t="s">
        <v>192</v>
      </c>
      <c r="AB125" s="3" t="s">
        <v>192</v>
      </c>
      <c r="AC125" s="3" t="s">
        <v>192</v>
      </c>
      <c r="AD125" s="3" t="s">
        <v>192</v>
      </c>
      <c r="AE125" s="3" t="s">
        <v>192</v>
      </c>
      <c r="AF125" s="3" t="s">
        <v>192</v>
      </c>
      <c r="AG125" s="3" t="s">
        <v>192</v>
      </c>
      <c r="AH125" s="3" t="s">
        <v>192</v>
      </c>
      <c r="AI125" s="3" t="s">
        <v>192</v>
      </c>
      <c r="AJ125" s="3" t="s">
        <v>192</v>
      </c>
      <c r="AK125" s="3" t="s">
        <v>192</v>
      </c>
      <c r="AL125" s="3" t="s">
        <v>192</v>
      </c>
      <c r="AM125" s="3" t="s">
        <v>192</v>
      </c>
      <c r="AN125" s="3" t="s">
        <v>192</v>
      </c>
      <c r="AO125" s="3" t="s">
        <v>192</v>
      </c>
      <c r="AP125" s="3" t="s">
        <v>192</v>
      </c>
      <c r="AQ125" s="3" t="s">
        <v>192</v>
      </c>
      <c r="AR125" s="3" t="s">
        <v>192</v>
      </c>
      <c r="AS125" s="3" t="s">
        <v>192</v>
      </c>
      <c r="AT125" s="3" t="s">
        <v>192</v>
      </c>
      <c r="AU125" s="3" t="s">
        <v>192</v>
      </c>
      <c r="AV125" s="3" t="s">
        <v>192</v>
      </c>
      <c r="AW125" s="3" t="s">
        <v>192</v>
      </c>
      <c r="AX125" s="3" t="s">
        <v>192</v>
      </c>
      <c r="AY125" s="3" t="s">
        <v>192</v>
      </c>
      <c r="AZ125" s="3" t="s">
        <v>192</v>
      </c>
      <c r="BA125" s="3" t="s">
        <v>192</v>
      </c>
      <c r="BB125" s="3" t="s">
        <v>192</v>
      </c>
      <c r="BC125" s="3" t="s">
        <v>192</v>
      </c>
      <c r="BD125" s="3" t="s">
        <v>192</v>
      </c>
      <c r="BE125" s="3" t="s">
        <v>192</v>
      </c>
      <c r="BF125" s="3" t="s">
        <v>192</v>
      </c>
      <c r="BG125" s="3" t="s">
        <v>192</v>
      </c>
      <c r="BH125" s="3" t="s">
        <v>192</v>
      </c>
      <c r="BI125" s="3" t="s">
        <v>192</v>
      </c>
      <c r="BJ125" s="3" t="s">
        <v>192</v>
      </c>
      <c r="BK125" s="3" t="s">
        <v>192</v>
      </c>
      <c r="BL125" s="3">
        <v>1</v>
      </c>
      <c r="BM125" s="3" t="s">
        <v>192</v>
      </c>
      <c r="BN125" s="3" t="s">
        <v>192</v>
      </c>
      <c r="BO125" s="3" t="s">
        <v>192</v>
      </c>
      <c r="BP125" s="3" t="s">
        <v>192</v>
      </c>
      <c r="BQ125" s="3" t="s">
        <v>192</v>
      </c>
      <c r="BR125" s="3" t="s">
        <v>192</v>
      </c>
      <c r="BS125" s="3" t="s">
        <v>192</v>
      </c>
      <c r="BT125" s="3" t="s">
        <v>192</v>
      </c>
      <c r="BU125" s="3" t="s">
        <v>192</v>
      </c>
      <c r="BV125" s="3" t="s">
        <v>192</v>
      </c>
      <c r="BW125" s="3" t="s">
        <v>192</v>
      </c>
      <c r="BX125" s="3" t="s">
        <v>192</v>
      </c>
      <c r="BY125" s="3" t="s">
        <v>192</v>
      </c>
      <c r="BZ125" s="3" t="s">
        <v>192</v>
      </c>
      <c r="CA125" s="3" t="s">
        <v>192</v>
      </c>
      <c r="CB125" s="3" t="s">
        <v>192</v>
      </c>
      <c r="CC125" s="3" t="s">
        <v>192</v>
      </c>
      <c r="CD125" s="3" t="s">
        <v>192</v>
      </c>
      <c r="CE125" s="3" t="s">
        <v>192</v>
      </c>
      <c r="CF125" s="3" t="s">
        <v>192</v>
      </c>
      <c r="CG125" s="3">
        <v>1</v>
      </c>
      <c r="CH125" s="3" t="s">
        <v>192</v>
      </c>
      <c r="CI125" s="3" t="s">
        <v>192</v>
      </c>
      <c r="CJ125" s="3" t="s">
        <v>192</v>
      </c>
      <c r="CK125" s="3" t="s">
        <v>192</v>
      </c>
      <c r="CL125" s="3" t="s">
        <v>192</v>
      </c>
      <c r="CM125" s="3" t="s">
        <v>192</v>
      </c>
      <c r="CN125" s="3" t="s">
        <v>192</v>
      </c>
      <c r="CO125" s="3" t="s">
        <v>192</v>
      </c>
      <c r="CP125" s="3" t="s">
        <v>192</v>
      </c>
      <c r="CQ125" s="3" t="s">
        <v>192</v>
      </c>
      <c r="CR125" s="3" t="s">
        <v>192</v>
      </c>
      <c r="CS125" s="3">
        <v>1</v>
      </c>
      <c r="CT125" s="1">
        <f>SUM(Table7[[#This Row],[Acyl_amino_acids]:[T3PKS]])</f>
        <v>3</v>
      </c>
      <c r="CU125" s="3" t="s">
        <v>192</v>
      </c>
      <c r="CW125" s="1">
        <f>Table7[[#This Row],[NRPS]]</f>
        <v>1</v>
      </c>
      <c r="CX125" s="1">
        <f>SUM(CP125,CR125,CS125,Table7[[#This Row],[T1PKS, T3PKS]])</f>
        <v>1</v>
      </c>
      <c r="CY125" s="1">
        <f t="shared" si="1"/>
        <v>0</v>
      </c>
      <c r="CZ125" s="1">
        <f>Table7[[#This Row],[Terpene]]</f>
        <v>1</v>
      </c>
      <c r="DA125" s="1">
        <f>SUM(Table7[[#This Row],[Thiopeptide]],BH125,BF125,BE125,BC125,AZ125,AX125,AW125,AJ125,AH125,N125,L125,J125,H125,I125,K125,R125,Q125,Table7[[#This Row],[Cyanobactin, LAP]])</f>
        <v>0</v>
      </c>
      <c r="DB125" s="1">
        <f>SUM(CO125,CN125,CL125,CK125,CJ125,CI125,CH125,CF125,CE125,CD125,CB125,CA125,BZ125,BY125,BX125,BW125,BV125,BT125,BR125,BQ125,BP125,BO125,BM125,BK125,BJ125,BI125,BG125,BD125,BB125,BA125,AY125,AV125,AU125,AT125,AS125,AR125,AQ125,AP125,AO125,AN125,AM125,AL125,AK125,AG125,AF125,AE125,AD125,AC125,AB125,AA125,Z125,Y125,X125,W125,V125,U125,T125,S125,P125,O125,M125,Table7[[#This Row],[Acyl_amino_acids]],E125,F125,G125,)</f>
        <v>0</v>
      </c>
    </row>
    <row r="126" spans="1:106" x14ac:dyDescent="0.25">
      <c r="A126" s="9" t="s">
        <v>718</v>
      </c>
      <c r="B126" s="1" t="s">
        <v>435</v>
      </c>
      <c r="C126" s="1" t="s">
        <v>365</v>
      </c>
      <c r="D126" s="1" t="s">
        <v>192</v>
      </c>
      <c r="E126" s="1" t="s">
        <v>192</v>
      </c>
      <c r="F126" s="3" t="s">
        <v>192</v>
      </c>
      <c r="G126" s="3" t="s">
        <v>192</v>
      </c>
      <c r="H126" s="3" t="s">
        <v>192</v>
      </c>
      <c r="I126" s="3" t="s">
        <v>192</v>
      </c>
      <c r="J126" s="3" t="s">
        <v>192</v>
      </c>
      <c r="K126" s="3" t="s">
        <v>192</v>
      </c>
      <c r="L126" s="3" t="s">
        <v>192</v>
      </c>
      <c r="M126" s="3" t="s">
        <v>192</v>
      </c>
      <c r="N126" s="3" t="s">
        <v>192</v>
      </c>
      <c r="O126" s="3" t="s">
        <v>192</v>
      </c>
      <c r="P126" s="3" t="s">
        <v>192</v>
      </c>
      <c r="Q126" s="3" t="s">
        <v>192</v>
      </c>
      <c r="R126" s="3" t="s">
        <v>192</v>
      </c>
      <c r="S126" s="3" t="s">
        <v>192</v>
      </c>
      <c r="T126" s="3" t="s">
        <v>192</v>
      </c>
      <c r="U126" s="3" t="s">
        <v>192</v>
      </c>
      <c r="V126" s="3" t="s">
        <v>192</v>
      </c>
      <c r="W126" s="3" t="s">
        <v>192</v>
      </c>
      <c r="X126" s="3" t="s">
        <v>192</v>
      </c>
      <c r="Y126" s="3" t="s">
        <v>192</v>
      </c>
      <c r="Z126" s="3" t="s">
        <v>192</v>
      </c>
      <c r="AA126" s="3" t="s">
        <v>192</v>
      </c>
      <c r="AB126" s="3" t="s">
        <v>192</v>
      </c>
      <c r="AC126" s="3" t="s">
        <v>192</v>
      </c>
      <c r="AD126" s="3" t="s">
        <v>192</v>
      </c>
      <c r="AE126" s="3" t="s">
        <v>192</v>
      </c>
      <c r="AF126" s="3" t="s">
        <v>192</v>
      </c>
      <c r="AG126" s="3" t="s">
        <v>192</v>
      </c>
      <c r="AH126" s="3" t="s">
        <v>192</v>
      </c>
      <c r="AI126" s="3" t="s">
        <v>192</v>
      </c>
      <c r="AJ126" s="3" t="s">
        <v>192</v>
      </c>
      <c r="AK126" s="3" t="s">
        <v>192</v>
      </c>
      <c r="AL126" s="3" t="s">
        <v>192</v>
      </c>
      <c r="AM126" s="3" t="s">
        <v>192</v>
      </c>
      <c r="AN126" s="3" t="s">
        <v>192</v>
      </c>
      <c r="AO126" s="3" t="s">
        <v>192</v>
      </c>
      <c r="AP126" s="3" t="s">
        <v>192</v>
      </c>
      <c r="AQ126" s="3" t="s">
        <v>192</v>
      </c>
      <c r="AR126" s="3" t="s">
        <v>192</v>
      </c>
      <c r="AS126" s="3" t="s">
        <v>192</v>
      </c>
      <c r="AT126" s="3" t="s">
        <v>192</v>
      </c>
      <c r="AU126" s="3" t="s">
        <v>192</v>
      </c>
      <c r="AV126" s="3" t="s">
        <v>192</v>
      </c>
      <c r="AW126" s="3" t="s">
        <v>192</v>
      </c>
      <c r="AX126" s="3" t="s">
        <v>192</v>
      </c>
      <c r="AY126" s="3" t="s">
        <v>192</v>
      </c>
      <c r="AZ126" s="3" t="s">
        <v>192</v>
      </c>
      <c r="BA126" s="3" t="s">
        <v>192</v>
      </c>
      <c r="BB126" s="3" t="s">
        <v>192</v>
      </c>
      <c r="BC126" s="3" t="s">
        <v>192</v>
      </c>
      <c r="BD126" s="3" t="s">
        <v>192</v>
      </c>
      <c r="BE126" s="3" t="s">
        <v>192</v>
      </c>
      <c r="BF126" s="3" t="s">
        <v>192</v>
      </c>
      <c r="BG126" s="3" t="s">
        <v>192</v>
      </c>
      <c r="BH126" s="3" t="s">
        <v>192</v>
      </c>
      <c r="BI126" s="3" t="s">
        <v>192</v>
      </c>
      <c r="BJ126" s="3" t="s">
        <v>192</v>
      </c>
      <c r="BK126" s="3" t="s">
        <v>192</v>
      </c>
      <c r="BL126" s="3" t="s">
        <v>192</v>
      </c>
      <c r="BM126" s="3" t="s">
        <v>192</v>
      </c>
      <c r="BN126" s="3" t="s">
        <v>192</v>
      </c>
      <c r="BO126" s="3" t="s">
        <v>192</v>
      </c>
      <c r="BP126" s="3" t="s">
        <v>192</v>
      </c>
      <c r="BQ126" s="3" t="s">
        <v>192</v>
      </c>
      <c r="BR126" s="3" t="s">
        <v>192</v>
      </c>
      <c r="BS126" s="3" t="s">
        <v>192</v>
      </c>
      <c r="BT126" s="3" t="s">
        <v>192</v>
      </c>
      <c r="BU126" s="3" t="s">
        <v>192</v>
      </c>
      <c r="BV126" s="3" t="s">
        <v>192</v>
      </c>
      <c r="BW126" s="3" t="s">
        <v>192</v>
      </c>
      <c r="BX126" s="3" t="s">
        <v>192</v>
      </c>
      <c r="BY126" s="3" t="s">
        <v>192</v>
      </c>
      <c r="BZ126" s="3" t="s">
        <v>192</v>
      </c>
      <c r="CA126" s="3" t="s">
        <v>192</v>
      </c>
      <c r="CB126" s="3" t="s">
        <v>192</v>
      </c>
      <c r="CC126" s="3" t="s">
        <v>192</v>
      </c>
      <c r="CD126" s="3" t="s">
        <v>192</v>
      </c>
      <c r="CE126" s="3" t="s">
        <v>192</v>
      </c>
      <c r="CF126" s="3" t="s">
        <v>192</v>
      </c>
      <c r="CG126" s="3">
        <v>2</v>
      </c>
      <c r="CH126" s="3" t="s">
        <v>192</v>
      </c>
      <c r="CI126" s="3" t="s">
        <v>192</v>
      </c>
      <c r="CJ126" s="3" t="s">
        <v>192</v>
      </c>
      <c r="CK126" s="3" t="s">
        <v>192</v>
      </c>
      <c r="CL126" s="3" t="s">
        <v>192</v>
      </c>
      <c r="CM126" s="3" t="s">
        <v>192</v>
      </c>
      <c r="CN126" s="3" t="s">
        <v>192</v>
      </c>
      <c r="CO126" s="3" t="s">
        <v>192</v>
      </c>
      <c r="CP126" s="3" t="s">
        <v>192</v>
      </c>
      <c r="CQ126" s="3" t="s">
        <v>192</v>
      </c>
      <c r="CR126" s="3" t="s">
        <v>192</v>
      </c>
      <c r="CS126" s="3" t="s">
        <v>192</v>
      </c>
      <c r="CT126" s="1">
        <f>SUM(Table7[[#This Row],[Acyl_amino_acids]:[T3PKS]])</f>
        <v>2</v>
      </c>
      <c r="CU126" s="3" t="s">
        <v>192</v>
      </c>
      <c r="CW126" s="1" t="str">
        <f>Table7[[#This Row],[NRPS]]</f>
        <v>-</v>
      </c>
      <c r="CX126" s="1">
        <f>SUM(CP126,CR126,CS126,Table7[[#This Row],[T1PKS, T3PKS]])</f>
        <v>0</v>
      </c>
      <c r="CY126" s="1">
        <f t="shared" si="1"/>
        <v>0</v>
      </c>
      <c r="CZ126" s="1">
        <f>Table7[[#This Row],[Terpene]]</f>
        <v>2</v>
      </c>
      <c r="DA126" s="1">
        <f>SUM(Table7[[#This Row],[Thiopeptide]],BH126,BF126,BE126,BC126,AZ126,AX126,AW126,AJ126,AH126,N126,L126,J126,H126,I126,K126,R126,Q126,Table7[[#This Row],[Cyanobactin, LAP]])</f>
        <v>0</v>
      </c>
      <c r="DB126" s="1">
        <f>SUM(CO126,CN126,CL126,CK126,CJ126,CI126,CH126,CF126,CE126,CD126,CB126,CA126,BZ126,BY126,BX126,BW126,BV126,BT126,BR126,BQ126,BP126,BO126,BM126,BK126,BJ126,BI126,BG126,BD126,BB126,BA126,AY126,AV126,AU126,AT126,AS126,AR126,AQ126,AP126,AO126,AN126,AM126,AL126,AK126,AG126,AF126,AE126,AD126,AC126,AB126,AA126,Z126,Y126,X126,W126,V126,U126,T126,S126,P126,O126,M126,Table7[[#This Row],[Acyl_amino_acids]],E126,F126,G126,)</f>
        <v>0</v>
      </c>
    </row>
    <row r="127" spans="1:106" x14ac:dyDescent="0.25">
      <c r="A127" s="9" t="s">
        <v>772</v>
      </c>
      <c r="B127" s="1" t="s">
        <v>435</v>
      </c>
      <c r="C127" s="1" t="s">
        <v>366</v>
      </c>
      <c r="D127" s="3" t="s">
        <v>192</v>
      </c>
      <c r="E127" s="3" t="s">
        <v>192</v>
      </c>
      <c r="F127" s="3" t="s">
        <v>192</v>
      </c>
      <c r="G127" s="3" t="s">
        <v>192</v>
      </c>
      <c r="H127" s="3" t="s">
        <v>192</v>
      </c>
      <c r="I127" s="3" t="s">
        <v>192</v>
      </c>
      <c r="J127" s="3" t="s">
        <v>192</v>
      </c>
      <c r="K127" s="3" t="s">
        <v>192</v>
      </c>
      <c r="L127" s="3" t="s">
        <v>192</v>
      </c>
      <c r="M127" s="3" t="s">
        <v>192</v>
      </c>
      <c r="N127" s="3" t="s">
        <v>192</v>
      </c>
      <c r="O127" s="3" t="s">
        <v>192</v>
      </c>
      <c r="P127" s="3" t="s">
        <v>192</v>
      </c>
      <c r="Q127" s="3" t="s">
        <v>192</v>
      </c>
      <c r="R127" s="3" t="s">
        <v>192</v>
      </c>
      <c r="S127" s="3" t="s">
        <v>192</v>
      </c>
      <c r="T127" s="3" t="s">
        <v>192</v>
      </c>
      <c r="U127" s="3" t="s">
        <v>192</v>
      </c>
      <c r="V127" s="3" t="s">
        <v>192</v>
      </c>
      <c r="W127" s="3" t="s">
        <v>192</v>
      </c>
      <c r="X127" s="3" t="s">
        <v>192</v>
      </c>
      <c r="Y127" s="3" t="s">
        <v>192</v>
      </c>
      <c r="Z127" s="3" t="s">
        <v>192</v>
      </c>
      <c r="AA127" s="3" t="s">
        <v>192</v>
      </c>
      <c r="AB127" s="3" t="s">
        <v>192</v>
      </c>
      <c r="AC127" s="3" t="s">
        <v>192</v>
      </c>
      <c r="AD127" s="3" t="s">
        <v>192</v>
      </c>
      <c r="AE127" s="3" t="s">
        <v>192</v>
      </c>
      <c r="AF127" s="3" t="s">
        <v>192</v>
      </c>
      <c r="AG127" s="3" t="s">
        <v>192</v>
      </c>
      <c r="AH127" s="3" t="s">
        <v>192</v>
      </c>
      <c r="AI127" s="3" t="s">
        <v>192</v>
      </c>
      <c r="AJ127" s="3" t="s">
        <v>192</v>
      </c>
      <c r="AK127" s="3" t="s">
        <v>192</v>
      </c>
      <c r="AL127" s="3" t="s">
        <v>192</v>
      </c>
      <c r="AM127" s="3" t="s">
        <v>192</v>
      </c>
      <c r="AN127" s="3" t="s">
        <v>192</v>
      </c>
      <c r="AO127" s="3" t="s">
        <v>192</v>
      </c>
      <c r="AP127" s="3" t="s">
        <v>192</v>
      </c>
      <c r="AQ127" s="3">
        <v>1</v>
      </c>
      <c r="AR127" s="3" t="s">
        <v>192</v>
      </c>
      <c r="AS127" s="3" t="s">
        <v>192</v>
      </c>
      <c r="AT127" s="3" t="s">
        <v>192</v>
      </c>
      <c r="AU127" s="3" t="s">
        <v>192</v>
      </c>
      <c r="AV127" s="3" t="s">
        <v>192</v>
      </c>
      <c r="AW127" s="3">
        <v>1</v>
      </c>
      <c r="AX127" s="3" t="s">
        <v>192</v>
      </c>
      <c r="AY127" s="3" t="s">
        <v>192</v>
      </c>
      <c r="AZ127" s="3" t="s">
        <v>192</v>
      </c>
      <c r="BA127" s="3" t="s">
        <v>192</v>
      </c>
      <c r="BB127" s="3" t="s">
        <v>192</v>
      </c>
      <c r="BC127" s="3" t="s">
        <v>192</v>
      </c>
      <c r="BD127" s="3" t="s">
        <v>192</v>
      </c>
      <c r="BE127" s="3" t="s">
        <v>192</v>
      </c>
      <c r="BF127" s="3" t="s">
        <v>192</v>
      </c>
      <c r="BG127" s="3" t="s">
        <v>192</v>
      </c>
      <c r="BH127" s="3" t="s">
        <v>192</v>
      </c>
      <c r="BI127" s="3" t="s">
        <v>192</v>
      </c>
      <c r="BJ127" s="3" t="s">
        <v>192</v>
      </c>
      <c r="BK127" s="3" t="s">
        <v>192</v>
      </c>
      <c r="BL127" s="3">
        <v>2</v>
      </c>
      <c r="BM127" s="3" t="s">
        <v>192</v>
      </c>
      <c r="BN127" s="3" t="s">
        <v>192</v>
      </c>
      <c r="BO127" s="3" t="s">
        <v>192</v>
      </c>
      <c r="BP127" s="3" t="s">
        <v>192</v>
      </c>
      <c r="BQ127" s="3" t="s">
        <v>192</v>
      </c>
      <c r="BR127" s="3" t="s">
        <v>192</v>
      </c>
      <c r="BS127" s="3" t="s">
        <v>192</v>
      </c>
      <c r="BT127" s="3" t="s">
        <v>192</v>
      </c>
      <c r="BU127" s="3" t="s">
        <v>192</v>
      </c>
      <c r="BV127" s="3" t="s">
        <v>192</v>
      </c>
      <c r="BW127" s="3" t="s">
        <v>192</v>
      </c>
      <c r="BX127" s="3" t="s">
        <v>192</v>
      </c>
      <c r="BY127" s="3" t="s">
        <v>192</v>
      </c>
      <c r="BZ127" s="3" t="s">
        <v>192</v>
      </c>
      <c r="CA127" s="3" t="s">
        <v>192</v>
      </c>
      <c r="CB127" s="3" t="s">
        <v>192</v>
      </c>
      <c r="CC127" s="3" t="s">
        <v>192</v>
      </c>
      <c r="CD127" s="3" t="s">
        <v>192</v>
      </c>
      <c r="CE127" s="3" t="s">
        <v>192</v>
      </c>
      <c r="CF127" s="3" t="s">
        <v>192</v>
      </c>
      <c r="CG127" s="3">
        <v>3</v>
      </c>
      <c r="CH127" s="3" t="s">
        <v>192</v>
      </c>
      <c r="CI127" s="3" t="s">
        <v>192</v>
      </c>
      <c r="CJ127" s="3" t="s">
        <v>192</v>
      </c>
      <c r="CK127" s="3" t="s">
        <v>192</v>
      </c>
      <c r="CL127" s="3" t="s">
        <v>192</v>
      </c>
      <c r="CM127" s="3" t="s">
        <v>192</v>
      </c>
      <c r="CN127" s="3" t="s">
        <v>192</v>
      </c>
      <c r="CO127" s="3" t="s">
        <v>192</v>
      </c>
      <c r="CP127" s="3" t="s">
        <v>192</v>
      </c>
      <c r="CQ127" s="3" t="s">
        <v>192</v>
      </c>
      <c r="CR127" s="3" t="s">
        <v>192</v>
      </c>
      <c r="CS127" s="3" t="s">
        <v>192</v>
      </c>
      <c r="CT127" s="1">
        <f>SUM(Table7[[#This Row],[Acyl_amino_acids]:[T3PKS]])</f>
        <v>7</v>
      </c>
      <c r="CU127" s="2" t="s">
        <v>192</v>
      </c>
      <c r="CW127" s="1">
        <f>Table7[[#This Row],[NRPS]]</f>
        <v>2</v>
      </c>
      <c r="CX127" s="1">
        <f>SUM(CP127,CR127,CS127,Table7[[#This Row],[T1PKS, T3PKS]])</f>
        <v>0</v>
      </c>
      <c r="CY127" s="1">
        <f t="shared" si="1"/>
        <v>0</v>
      </c>
      <c r="CZ127" s="1">
        <f>Table7[[#This Row],[Terpene]]</f>
        <v>3</v>
      </c>
      <c r="DA127" s="1">
        <f>SUM(Table7[[#This Row],[Thiopeptide]],BH127,BF127,BE127,BC127,AZ127,AX127,AW127,AJ127,AH127,N127,L127,J127,H127,I127,K127,R127,Q127,Table7[[#This Row],[Cyanobactin, LAP]])</f>
        <v>1</v>
      </c>
      <c r="DB127" s="1">
        <f>SUM(CO127,CN127,CL127,CK127,CJ127,CI127,CH127,CF127,CE127,CD127,CB127,CA127,BZ127,BY127,BX127,BW127,BV127,BT127,BR127,BQ127,BP127,BO127,BM127,BK127,BJ127,BI127,BG127,BD127,BB127,BA127,AY127,AV127,AU127,AT127,AS127,AR127,AQ127,AP127,AO127,AN127,AM127,AL127,AK127,AG127,AF127,AE127,AD127,AC127,AB127,AA127,Z127,Y127,X127,W127,V127,U127,T127,S127,P127,O127,M127,Table7[[#This Row],[Acyl_amino_acids]],E127,F127,G127,)</f>
        <v>1</v>
      </c>
    </row>
    <row r="128" spans="1:106" x14ac:dyDescent="0.25">
      <c r="A128" s="9" t="s">
        <v>696</v>
      </c>
      <c r="B128" s="1" t="s">
        <v>435</v>
      </c>
      <c r="C128" s="1" t="s">
        <v>264</v>
      </c>
      <c r="D128" s="1" t="s">
        <v>192</v>
      </c>
      <c r="E128" s="1" t="s">
        <v>192</v>
      </c>
      <c r="F128" s="1" t="s">
        <v>192</v>
      </c>
      <c r="G128" s="1" t="s">
        <v>192</v>
      </c>
      <c r="H128" s="1">
        <v>1</v>
      </c>
      <c r="I128" s="1" t="s">
        <v>192</v>
      </c>
      <c r="J128" s="1" t="s">
        <v>192</v>
      </c>
      <c r="K128" s="1" t="s">
        <v>192</v>
      </c>
      <c r="L128" s="1" t="s">
        <v>192</v>
      </c>
      <c r="M128" s="1" t="s">
        <v>192</v>
      </c>
      <c r="N128" s="1" t="s">
        <v>192</v>
      </c>
      <c r="O128" s="1" t="s">
        <v>192</v>
      </c>
      <c r="P128" s="1" t="s">
        <v>192</v>
      </c>
      <c r="Q128" s="1" t="s">
        <v>192</v>
      </c>
      <c r="R128" s="1" t="s">
        <v>192</v>
      </c>
      <c r="S128" s="1" t="s">
        <v>192</v>
      </c>
      <c r="T128" s="1" t="s">
        <v>192</v>
      </c>
      <c r="U128" s="1" t="s">
        <v>192</v>
      </c>
      <c r="V128" s="1" t="s">
        <v>192</v>
      </c>
      <c r="W128" s="1" t="s">
        <v>192</v>
      </c>
      <c r="X128" s="1" t="s">
        <v>192</v>
      </c>
      <c r="Y128" s="1" t="s">
        <v>192</v>
      </c>
      <c r="Z128" s="1" t="s">
        <v>192</v>
      </c>
      <c r="AA128" s="1" t="s">
        <v>192</v>
      </c>
      <c r="AB128" s="1" t="s">
        <v>192</v>
      </c>
      <c r="AC128" s="1" t="s">
        <v>192</v>
      </c>
      <c r="AD128" s="1" t="s">
        <v>192</v>
      </c>
      <c r="AE128" s="1" t="s">
        <v>192</v>
      </c>
      <c r="AF128" s="1" t="s">
        <v>192</v>
      </c>
      <c r="AG128" s="1" t="s">
        <v>192</v>
      </c>
      <c r="AH128" s="1" t="s">
        <v>192</v>
      </c>
      <c r="AI128" s="1" t="s">
        <v>192</v>
      </c>
      <c r="AJ128" s="1" t="s">
        <v>192</v>
      </c>
      <c r="AK128" s="1" t="s">
        <v>192</v>
      </c>
      <c r="AL128" s="1" t="s">
        <v>192</v>
      </c>
      <c r="AM128" s="1" t="s">
        <v>192</v>
      </c>
      <c r="AN128" s="1" t="s">
        <v>192</v>
      </c>
      <c r="AO128" s="1" t="s">
        <v>192</v>
      </c>
      <c r="AP128" s="1" t="s">
        <v>192</v>
      </c>
      <c r="AQ128" s="1" t="s">
        <v>192</v>
      </c>
      <c r="AR128" s="1" t="s">
        <v>192</v>
      </c>
      <c r="AS128" s="1" t="s">
        <v>192</v>
      </c>
      <c r="AT128" s="1" t="s">
        <v>192</v>
      </c>
      <c r="AU128" s="1" t="s">
        <v>192</v>
      </c>
      <c r="AV128" s="1" t="s">
        <v>192</v>
      </c>
      <c r="AW128" s="1" t="s">
        <v>192</v>
      </c>
      <c r="AX128" s="1" t="s">
        <v>192</v>
      </c>
      <c r="AY128" s="1" t="s">
        <v>192</v>
      </c>
      <c r="AZ128" s="1">
        <v>1</v>
      </c>
      <c r="BA128" s="1" t="s">
        <v>192</v>
      </c>
      <c r="BB128" s="1" t="s">
        <v>192</v>
      </c>
      <c r="BC128" s="1" t="s">
        <v>192</v>
      </c>
      <c r="BD128" s="1" t="s">
        <v>192</v>
      </c>
      <c r="BE128" s="1" t="s">
        <v>192</v>
      </c>
      <c r="BF128" s="1" t="s">
        <v>192</v>
      </c>
      <c r="BG128" s="1" t="s">
        <v>192</v>
      </c>
      <c r="BH128" s="1" t="s">
        <v>192</v>
      </c>
      <c r="BI128" s="1" t="s">
        <v>192</v>
      </c>
      <c r="BJ128" s="1" t="s">
        <v>192</v>
      </c>
      <c r="BK128" s="1" t="s">
        <v>192</v>
      </c>
      <c r="BL128" s="1">
        <v>2</v>
      </c>
      <c r="BM128" s="1" t="s">
        <v>192</v>
      </c>
      <c r="BN128" s="1" t="s">
        <v>192</v>
      </c>
      <c r="BO128" s="1" t="s">
        <v>192</v>
      </c>
      <c r="BP128" s="1" t="s">
        <v>192</v>
      </c>
      <c r="BQ128" s="1" t="s">
        <v>192</v>
      </c>
      <c r="BR128" s="1" t="s">
        <v>192</v>
      </c>
      <c r="BS128" s="1">
        <v>1</v>
      </c>
      <c r="BT128" s="1" t="s">
        <v>192</v>
      </c>
      <c r="BU128" s="1" t="s">
        <v>192</v>
      </c>
      <c r="BV128" s="1" t="s">
        <v>192</v>
      </c>
      <c r="BW128" s="1" t="s">
        <v>192</v>
      </c>
      <c r="BX128" s="1" t="s">
        <v>192</v>
      </c>
      <c r="BY128" s="1" t="s">
        <v>192</v>
      </c>
      <c r="BZ128" s="1" t="s">
        <v>192</v>
      </c>
      <c r="CA128" s="1" t="s">
        <v>192</v>
      </c>
      <c r="CB128" s="1" t="s">
        <v>192</v>
      </c>
      <c r="CC128" s="1" t="s">
        <v>192</v>
      </c>
      <c r="CD128" s="1" t="s">
        <v>192</v>
      </c>
      <c r="CE128" s="1" t="s">
        <v>192</v>
      </c>
      <c r="CF128" s="1" t="s">
        <v>192</v>
      </c>
      <c r="CG128" s="1">
        <v>3</v>
      </c>
      <c r="CH128" s="1" t="s">
        <v>192</v>
      </c>
      <c r="CI128" s="1" t="s">
        <v>192</v>
      </c>
      <c r="CJ128" s="1" t="s">
        <v>192</v>
      </c>
      <c r="CK128" s="1" t="s">
        <v>192</v>
      </c>
      <c r="CL128" s="1" t="s">
        <v>192</v>
      </c>
      <c r="CM128" s="1" t="s">
        <v>192</v>
      </c>
      <c r="CN128" s="1" t="s">
        <v>192</v>
      </c>
      <c r="CO128" s="1" t="s">
        <v>192</v>
      </c>
      <c r="CP128" s="1" t="s">
        <v>192</v>
      </c>
      <c r="CQ128" s="1" t="s">
        <v>192</v>
      </c>
      <c r="CR128" s="1" t="s">
        <v>192</v>
      </c>
      <c r="CS128" s="1" t="s">
        <v>192</v>
      </c>
      <c r="CT128" s="1">
        <f>SUM(Table7[[#This Row],[Acyl_amino_acids]:[T3PKS]])</f>
        <v>8</v>
      </c>
      <c r="CU128" s="1" t="s">
        <v>192</v>
      </c>
      <c r="CW128" s="1">
        <f>Table7[[#This Row],[NRPS]]</f>
        <v>2</v>
      </c>
      <c r="CX128" s="1">
        <f>SUM(CP128,CR128,CS128,Table7[[#This Row],[T1PKS, T3PKS]])</f>
        <v>0</v>
      </c>
      <c r="CY128" s="1">
        <f t="shared" si="1"/>
        <v>1</v>
      </c>
      <c r="CZ128" s="1">
        <f>Table7[[#This Row],[Terpene]]</f>
        <v>3</v>
      </c>
      <c r="DA128" s="1">
        <f>SUM(Table7[[#This Row],[Thiopeptide]],BH128,BF128,BE128,BC128,AZ128,AX128,AW128,AJ128,AH128,N128,L128,J128,H128,I128,K128,R128,Q128,Table7[[#This Row],[Cyanobactin, LAP]])</f>
        <v>2</v>
      </c>
      <c r="DB128" s="1">
        <f>SUM(CO128,CN128,CL128,CK128,CJ128,CI128,CH128,CF128,CE128,CD128,CB128,CA128,BZ128,BY128,BX128,BW128,BV128,BT128,BR128,BQ128,BP128,BO128,BM128,BK128,BJ128,BI128,BG128,BD128,BB128,BA128,AY128,AV128,AU128,AT128,AS128,AR128,AQ128,AP128,AO128,AN128,AM128,AL128,AK128,AG128,AF128,AE128,AD128,AC128,AB128,AA128,Z128,Y128,X128,W128,V128,U128,T128,S128,P128,O128,M128,Table7[[#This Row],[Acyl_amino_acids]],E128,F128,G128,)</f>
        <v>0</v>
      </c>
    </row>
    <row r="129" spans="1:106" x14ac:dyDescent="0.25">
      <c r="A129" s="9" t="s">
        <v>698</v>
      </c>
      <c r="B129" s="1" t="s">
        <v>435</v>
      </c>
      <c r="C129" s="1" t="s">
        <v>268</v>
      </c>
      <c r="D129" s="1" t="s">
        <v>192</v>
      </c>
      <c r="E129" s="1" t="s">
        <v>192</v>
      </c>
      <c r="F129" s="1" t="s">
        <v>192</v>
      </c>
      <c r="G129" s="1" t="s">
        <v>192</v>
      </c>
      <c r="H129" s="1">
        <v>1</v>
      </c>
      <c r="I129" s="1" t="s">
        <v>192</v>
      </c>
      <c r="J129" s="1" t="s">
        <v>192</v>
      </c>
      <c r="K129" s="1" t="s">
        <v>192</v>
      </c>
      <c r="L129" s="1" t="s">
        <v>192</v>
      </c>
      <c r="M129" s="1" t="s">
        <v>192</v>
      </c>
      <c r="N129" s="1" t="s">
        <v>192</v>
      </c>
      <c r="O129" s="1" t="s">
        <v>192</v>
      </c>
      <c r="P129" s="1" t="s">
        <v>192</v>
      </c>
      <c r="Q129" s="1" t="s">
        <v>192</v>
      </c>
      <c r="R129" s="1" t="s">
        <v>192</v>
      </c>
      <c r="S129" s="1" t="s">
        <v>192</v>
      </c>
      <c r="T129" s="1" t="s">
        <v>192</v>
      </c>
      <c r="U129" s="1" t="s">
        <v>192</v>
      </c>
      <c r="V129" s="1" t="s">
        <v>192</v>
      </c>
      <c r="W129" s="1" t="s">
        <v>192</v>
      </c>
      <c r="X129" s="1" t="s">
        <v>192</v>
      </c>
      <c r="Y129" s="1" t="s">
        <v>192</v>
      </c>
      <c r="Z129" s="1" t="s">
        <v>192</v>
      </c>
      <c r="AA129" s="1" t="s">
        <v>192</v>
      </c>
      <c r="AB129" s="1" t="s">
        <v>192</v>
      </c>
      <c r="AC129" s="1" t="s">
        <v>192</v>
      </c>
      <c r="AD129" s="1" t="s">
        <v>192</v>
      </c>
      <c r="AE129" s="1" t="s">
        <v>192</v>
      </c>
      <c r="AF129" s="1" t="s">
        <v>192</v>
      </c>
      <c r="AG129" s="1" t="s">
        <v>192</v>
      </c>
      <c r="AH129" s="1" t="s">
        <v>192</v>
      </c>
      <c r="AI129" s="1" t="s">
        <v>192</v>
      </c>
      <c r="AJ129" s="1" t="s">
        <v>192</v>
      </c>
      <c r="AK129" s="1" t="s">
        <v>192</v>
      </c>
      <c r="AL129" s="1" t="s">
        <v>192</v>
      </c>
      <c r="AM129" s="1" t="s">
        <v>192</v>
      </c>
      <c r="AN129" s="1" t="s">
        <v>192</v>
      </c>
      <c r="AO129" s="1" t="s">
        <v>192</v>
      </c>
      <c r="AP129" s="1" t="s">
        <v>192</v>
      </c>
      <c r="AQ129" s="1" t="s">
        <v>192</v>
      </c>
      <c r="AR129" s="1" t="s">
        <v>192</v>
      </c>
      <c r="AS129" s="1" t="s">
        <v>192</v>
      </c>
      <c r="AT129" s="1" t="s">
        <v>192</v>
      </c>
      <c r="AU129" s="1" t="s">
        <v>192</v>
      </c>
      <c r="AV129" s="1" t="s">
        <v>192</v>
      </c>
      <c r="AW129" s="1" t="s">
        <v>192</v>
      </c>
      <c r="AX129" s="1" t="s">
        <v>192</v>
      </c>
      <c r="AY129" s="1" t="s">
        <v>192</v>
      </c>
      <c r="AZ129" s="1">
        <v>1</v>
      </c>
      <c r="BA129" s="1" t="s">
        <v>192</v>
      </c>
      <c r="BB129" s="1" t="s">
        <v>192</v>
      </c>
      <c r="BC129" s="1" t="s">
        <v>192</v>
      </c>
      <c r="BD129" s="1" t="s">
        <v>192</v>
      </c>
      <c r="BE129" s="1" t="s">
        <v>192</v>
      </c>
      <c r="BF129" s="1" t="s">
        <v>192</v>
      </c>
      <c r="BG129" s="1" t="s">
        <v>192</v>
      </c>
      <c r="BH129" s="1" t="s">
        <v>192</v>
      </c>
      <c r="BI129" s="1" t="s">
        <v>192</v>
      </c>
      <c r="BJ129" s="1" t="s">
        <v>192</v>
      </c>
      <c r="BK129" s="1" t="s">
        <v>192</v>
      </c>
      <c r="BL129" s="1">
        <v>2</v>
      </c>
      <c r="BM129" s="1" t="s">
        <v>192</v>
      </c>
      <c r="BN129" s="1" t="s">
        <v>192</v>
      </c>
      <c r="BO129" s="1" t="s">
        <v>192</v>
      </c>
      <c r="BP129" s="1" t="s">
        <v>192</v>
      </c>
      <c r="BQ129" s="1" t="s">
        <v>192</v>
      </c>
      <c r="BR129" s="1" t="s">
        <v>192</v>
      </c>
      <c r="BS129" s="1">
        <v>1</v>
      </c>
      <c r="BT129" s="1" t="s">
        <v>192</v>
      </c>
      <c r="BU129" s="1" t="s">
        <v>192</v>
      </c>
      <c r="BV129" s="1" t="s">
        <v>192</v>
      </c>
      <c r="BW129" s="1" t="s">
        <v>192</v>
      </c>
      <c r="BX129" s="1" t="s">
        <v>192</v>
      </c>
      <c r="BY129" s="1" t="s">
        <v>192</v>
      </c>
      <c r="BZ129" s="1" t="s">
        <v>192</v>
      </c>
      <c r="CA129" s="1" t="s">
        <v>192</v>
      </c>
      <c r="CB129" s="1" t="s">
        <v>192</v>
      </c>
      <c r="CC129" s="1" t="s">
        <v>192</v>
      </c>
      <c r="CD129" s="1" t="s">
        <v>192</v>
      </c>
      <c r="CE129" s="1" t="s">
        <v>192</v>
      </c>
      <c r="CF129" s="1" t="s">
        <v>192</v>
      </c>
      <c r="CG129" s="1">
        <v>3</v>
      </c>
      <c r="CH129" s="1" t="s">
        <v>192</v>
      </c>
      <c r="CI129" s="1" t="s">
        <v>192</v>
      </c>
      <c r="CJ129" s="1" t="s">
        <v>192</v>
      </c>
      <c r="CK129" s="1" t="s">
        <v>192</v>
      </c>
      <c r="CL129" s="1" t="s">
        <v>192</v>
      </c>
      <c r="CM129" s="1" t="s">
        <v>192</v>
      </c>
      <c r="CN129" s="1" t="s">
        <v>192</v>
      </c>
      <c r="CO129" s="1" t="s">
        <v>192</v>
      </c>
      <c r="CP129" s="1" t="s">
        <v>192</v>
      </c>
      <c r="CQ129" s="1" t="s">
        <v>192</v>
      </c>
      <c r="CR129" s="1" t="s">
        <v>192</v>
      </c>
      <c r="CS129" s="1" t="s">
        <v>192</v>
      </c>
      <c r="CT129" s="1">
        <f>SUM(Table7[[#This Row],[Acyl_amino_acids]:[T3PKS]])</f>
        <v>8</v>
      </c>
      <c r="CU129" s="1" t="s">
        <v>192</v>
      </c>
      <c r="CW129" s="1">
        <f>Table7[[#This Row],[NRPS]]</f>
        <v>2</v>
      </c>
      <c r="CX129" s="1">
        <f>SUM(CP129,CR129,CS129,Table7[[#This Row],[T1PKS, T3PKS]])</f>
        <v>0</v>
      </c>
      <c r="CY129" s="1">
        <f t="shared" si="1"/>
        <v>1</v>
      </c>
      <c r="CZ129" s="1">
        <f>Table7[[#This Row],[Terpene]]</f>
        <v>3</v>
      </c>
      <c r="DA129" s="1">
        <f>SUM(Table7[[#This Row],[Thiopeptide]],BH129,BF129,BE129,BC129,AZ129,AX129,AW129,AJ129,AH129,N129,L129,J129,H129,I129,K129,R129,Q129,Table7[[#This Row],[Cyanobactin, LAP]])</f>
        <v>2</v>
      </c>
      <c r="DB129" s="1">
        <f>SUM(CO129,CN129,CL129,CK129,CJ129,CI129,CH129,CF129,CE129,CD129,CB129,CA129,BZ129,BY129,BX129,BW129,BV129,BT129,BR129,BQ129,BP129,BO129,BM129,BK129,BJ129,BI129,BG129,BD129,BB129,BA129,AY129,AV129,AU129,AT129,AS129,AR129,AQ129,AP129,AO129,AN129,AM129,AL129,AK129,AG129,AF129,AE129,AD129,AC129,AB129,AA129,Z129,Y129,X129,W129,V129,U129,T129,S129,P129,O129,M129,Table7[[#This Row],[Acyl_amino_acids]],E129,F129,G129,)</f>
        <v>0</v>
      </c>
    </row>
    <row r="130" spans="1:106" x14ac:dyDescent="0.25">
      <c r="A130" s="9" t="s">
        <v>710</v>
      </c>
      <c r="B130" s="1" t="s">
        <v>435</v>
      </c>
      <c r="C130" s="1" t="s">
        <v>367</v>
      </c>
      <c r="D130" s="1" t="s">
        <v>192</v>
      </c>
      <c r="E130" s="1" t="s">
        <v>192</v>
      </c>
      <c r="F130" s="3" t="s">
        <v>192</v>
      </c>
      <c r="G130" s="3" t="s">
        <v>192</v>
      </c>
      <c r="H130" s="3">
        <v>1</v>
      </c>
      <c r="I130" s="3" t="s">
        <v>192</v>
      </c>
      <c r="J130" s="3" t="s">
        <v>192</v>
      </c>
      <c r="K130" s="3">
        <v>1</v>
      </c>
      <c r="L130" s="3">
        <v>1</v>
      </c>
      <c r="M130" s="3" t="s">
        <v>192</v>
      </c>
      <c r="N130" s="3" t="s">
        <v>192</v>
      </c>
      <c r="O130" s="3" t="s">
        <v>192</v>
      </c>
      <c r="P130" s="3" t="s">
        <v>192</v>
      </c>
      <c r="Q130" s="3">
        <v>1</v>
      </c>
      <c r="R130" s="3" t="s">
        <v>192</v>
      </c>
      <c r="S130" s="3" t="s">
        <v>192</v>
      </c>
      <c r="T130" s="3" t="s">
        <v>192</v>
      </c>
      <c r="U130" s="3" t="s">
        <v>192</v>
      </c>
      <c r="V130" s="3" t="s">
        <v>192</v>
      </c>
      <c r="W130" s="3" t="s">
        <v>192</v>
      </c>
      <c r="X130" s="3" t="s">
        <v>192</v>
      </c>
      <c r="Y130" s="3" t="s">
        <v>192</v>
      </c>
      <c r="Z130" s="3" t="s">
        <v>192</v>
      </c>
      <c r="AA130" s="3" t="s">
        <v>192</v>
      </c>
      <c r="AB130" s="3" t="s">
        <v>192</v>
      </c>
      <c r="AC130" s="3" t="s">
        <v>192</v>
      </c>
      <c r="AD130" s="3" t="s">
        <v>192</v>
      </c>
      <c r="AE130" s="3" t="s">
        <v>192</v>
      </c>
      <c r="AF130" s="3" t="s">
        <v>192</v>
      </c>
      <c r="AG130" s="3" t="s">
        <v>192</v>
      </c>
      <c r="AH130" s="3" t="s">
        <v>192</v>
      </c>
      <c r="AI130" s="3" t="s">
        <v>192</v>
      </c>
      <c r="AJ130" s="3" t="s">
        <v>192</v>
      </c>
      <c r="AK130" s="3" t="s">
        <v>192</v>
      </c>
      <c r="AL130" s="3" t="s">
        <v>192</v>
      </c>
      <c r="AM130" s="3" t="s">
        <v>192</v>
      </c>
      <c r="AN130" s="3" t="s">
        <v>192</v>
      </c>
      <c r="AO130" s="3" t="s">
        <v>192</v>
      </c>
      <c r="AP130" s="3" t="s">
        <v>192</v>
      </c>
      <c r="AQ130" s="3">
        <v>1</v>
      </c>
      <c r="AR130" s="3" t="s">
        <v>192</v>
      </c>
      <c r="AS130" s="3" t="s">
        <v>192</v>
      </c>
      <c r="AT130" s="3">
        <v>1</v>
      </c>
      <c r="AU130" s="3" t="s">
        <v>192</v>
      </c>
      <c r="AV130" s="3" t="s">
        <v>192</v>
      </c>
      <c r="AW130" s="3">
        <v>1</v>
      </c>
      <c r="AX130" s="3" t="s">
        <v>192</v>
      </c>
      <c r="AY130" s="3" t="s">
        <v>192</v>
      </c>
      <c r="AZ130" s="3" t="s">
        <v>192</v>
      </c>
      <c r="BA130" s="3" t="s">
        <v>192</v>
      </c>
      <c r="BB130" s="3" t="s">
        <v>192</v>
      </c>
      <c r="BC130" s="3" t="s">
        <v>192</v>
      </c>
      <c r="BD130" s="3" t="s">
        <v>192</v>
      </c>
      <c r="BE130" s="3" t="s">
        <v>192</v>
      </c>
      <c r="BF130" s="3">
        <v>1</v>
      </c>
      <c r="BG130" s="3" t="s">
        <v>192</v>
      </c>
      <c r="BH130" s="3">
        <v>2</v>
      </c>
      <c r="BI130" s="3" t="s">
        <v>192</v>
      </c>
      <c r="BJ130" s="3" t="s">
        <v>192</v>
      </c>
      <c r="BK130" s="3" t="s">
        <v>192</v>
      </c>
      <c r="BL130" s="3">
        <v>1</v>
      </c>
      <c r="BM130" s="3" t="s">
        <v>192</v>
      </c>
      <c r="BN130" s="3" t="s">
        <v>192</v>
      </c>
      <c r="BO130" s="3" t="s">
        <v>192</v>
      </c>
      <c r="BP130" s="3" t="s">
        <v>192</v>
      </c>
      <c r="BQ130" s="3" t="s">
        <v>192</v>
      </c>
      <c r="BR130" s="3" t="s">
        <v>192</v>
      </c>
      <c r="BS130" s="3">
        <v>1</v>
      </c>
      <c r="BT130" s="3" t="s">
        <v>192</v>
      </c>
      <c r="BU130" s="3" t="s">
        <v>192</v>
      </c>
      <c r="BV130" s="3" t="s">
        <v>192</v>
      </c>
      <c r="BW130" s="3" t="s">
        <v>192</v>
      </c>
      <c r="BX130" s="3" t="s">
        <v>192</v>
      </c>
      <c r="BY130" s="3" t="s">
        <v>192</v>
      </c>
      <c r="BZ130" s="3" t="s">
        <v>192</v>
      </c>
      <c r="CA130" s="3" t="s">
        <v>192</v>
      </c>
      <c r="CB130" s="3" t="s">
        <v>192</v>
      </c>
      <c r="CC130" s="3" t="s">
        <v>192</v>
      </c>
      <c r="CD130" s="3" t="s">
        <v>192</v>
      </c>
      <c r="CE130" s="3" t="s">
        <v>192</v>
      </c>
      <c r="CF130" s="3" t="s">
        <v>192</v>
      </c>
      <c r="CG130" s="3">
        <v>1</v>
      </c>
      <c r="CH130" s="3" t="s">
        <v>192</v>
      </c>
      <c r="CI130" s="3" t="s">
        <v>192</v>
      </c>
      <c r="CJ130" s="3" t="s">
        <v>192</v>
      </c>
      <c r="CK130" s="3" t="s">
        <v>192</v>
      </c>
      <c r="CL130" s="3" t="s">
        <v>192</v>
      </c>
      <c r="CM130" s="3" t="s">
        <v>192</v>
      </c>
      <c r="CN130" s="3" t="s">
        <v>192</v>
      </c>
      <c r="CO130" s="3" t="s">
        <v>192</v>
      </c>
      <c r="CP130" s="3" t="s">
        <v>192</v>
      </c>
      <c r="CQ130" s="3" t="s">
        <v>192</v>
      </c>
      <c r="CR130" s="3" t="s">
        <v>192</v>
      </c>
      <c r="CS130" s="3">
        <v>1</v>
      </c>
      <c r="CT130" s="1">
        <f>SUM(Table7[[#This Row],[Acyl_amino_acids]:[T3PKS]])</f>
        <v>14</v>
      </c>
      <c r="CU130" s="3" t="s">
        <v>192</v>
      </c>
      <c r="CW130" s="1">
        <f>Table7[[#This Row],[NRPS]]</f>
        <v>1</v>
      </c>
      <c r="CX130" s="1">
        <f>SUM(CP130,CR130,CS130,Table7[[#This Row],[T1PKS, T3PKS]])</f>
        <v>1</v>
      </c>
      <c r="CY130" s="1">
        <f t="shared" si="1"/>
        <v>1</v>
      </c>
      <c r="CZ130" s="1">
        <f>Table7[[#This Row],[Terpene]]</f>
        <v>1</v>
      </c>
      <c r="DA130" s="1">
        <f>SUM(Table7[[#This Row],[Thiopeptide]],BH130,BF130,BE130,BC130,AZ130,AX130,AW130,AJ130,AH130,N130,L130,J130,H130,I130,K130,R130,Q130,Table7[[#This Row],[Cyanobactin, LAP]])</f>
        <v>8</v>
      </c>
      <c r="DB130" s="1">
        <f>SUM(CO130,CN130,CL130,CK130,CJ130,CI130,CH130,CF130,CE130,CD130,CB130,CA130,BZ130,BY130,BX130,BW130,BV130,BT130,BR130,BQ130,BP130,BO130,BM130,BK130,BJ130,BI130,BG130,BD130,BB130,BA130,AY130,AV130,AU130,AT130,AS130,AR130,AQ130,AP130,AO130,AN130,AM130,AL130,AK130,AG130,AF130,AE130,AD130,AC130,AB130,AA130,Z130,Y130,X130,W130,V130,U130,T130,S130,P130,O130,M130,Table7[[#This Row],[Acyl_amino_acids]],E130,F130,G130,)</f>
        <v>2</v>
      </c>
    </row>
    <row r="131" spans="1:106" x14ac:dyDescent="0.25">
      <c r="A131" s="9" t="s">
        <v>776</v>
      </c>
      <c r="B131" s="1" t="s">
        <v>435</v>
      </c>
      <c r="C131" s="1" t="s">
        <v>368</v>
      </c>
      <c r="D131" s="3" t="s">
        <v>192</v>
      </c>
      <c r="E131" s="3" t="s">
        <v>192</v>
      </c>
      <c r="F131" s="3" t="s">
        <v>192</v>
      </c>
      <c r="G131" s="3" t="s">
        <v>192</v>
      </c>
      <c r="H131" s="3">
        <v>1</v>
      </c>
      <c r="I131" s="3" t="s">
        <v>192</v>
      </c>
      <c r="J131" s="3" t="s">
        <v>192</v>
      </c>
      <c r="K131" s="3" t="s">
        <v>192</v>
      </c>
      <c r="L131" s="3" t="s">
        <v>192</v>
      </c>
      <c r="M131" s="3" t="s">
        <v>192</v>
      </c>
      <c r="N131" s="3" t="s">
        <v>192</v>
      </c>
      <c r="O131" s="3" t="s">
        <v>192</v>
      </c>
      <c r="P131" s="3" t="s">
        <v>192</v>
      </c>
      <c r="Q131" s="3" t="s">
        <v>192</v>
      </c>
      <c r="R131" s="3" t="s">
        <v>192</v>
      </c>
      <c r="S131" s="3" t="s">
        <v>192</v>
      </c>
      <c r="T131" s="3" t="s">
        <v>192</v>
      </c>
      <c r="U131" s="3" t="s">
        <v>192</v>
      </c>
      <c r="V131" s="3" t="s">
        <v>192</v>
      </c>
      <c r="W131" s="3" t="s">
        <v>192</v>
      </c>
      <c r="X131" s="3" t="s">
        <v>192</v>
      </c>
      <c r="Y131" s="3" t="s">
        <v>192</v>
      </c>
      <c r="Z131" s="3" t="s">
        <v>192</v>
      </c>
      <c r="AA131" s="3" t="s">
        <v>192</v>
      </c>
      <c r="AB131" s="3">
        <v>1</v>
      </c>
      <c r="AC131" s="3" t="s">
        <v>192</v>
      </c>
      <c r="AD131" s="3" t="s">
        <v>192</v>
      </c>
      <c r="AE131" s="3" t="s">
        <v>192</v>
      </c>
      <c r="AF131" s="3" t="s">
        <v>192</v>
      </c>
      <c r="AG131" s="3" t="s">
        <v>192</v>
      </c>
      <c r="AH131" s="3" t="s">
        <v>192</v>
      </c>
      <c r="AI131" s="3" t="s">
        <v>192</v>
      </c>
      <c r="AJ131" s="3" t="s">
        <v>192</v>
      </c>
      <c r="AK131" s="3" t="s">
        <v>192</v>
      </c>
      <c r="AL131" s="3" t="s">
        <v>192</v>
      </c>
      <c r="AM131" s="3" t="s">
        <v>192</v>
      </c>
      <c r="AN131" s="3" t="s">
        <v>192</v>
      </c>
      <c r="AO131" s="3" t="s">
        <v>192</v>
      </c>
      <c r="AP131" s="3" t="s">
        <v>192</v>
      </c>
      <c r="AQ131" s="3">
        <v>1</v>
      </c>
      <c r="AR131" s="3" t="s">
        <v>192</v>
      </c>
      <c r="AS131" s="3" t="s">
        <v>192</v>
      </c>
      <c r="AT131" s="3">
        <v>1</v>
      </c>
      <c r="AU131" s="3" t="s">
        <v>192</v>
      </c>
      <c r="AV131" s="3" t="s">
        <v>192</v>
      </c>
      <c r="AW131" s="3" t="s">
        <v>192</v>
      </c>
      <c r="AX131" s="3" t="s">
        <v>192</v>
      </c>
      <c r="AY131" s="3" t="s">
        <v>192</v>
      </c>
      <c r="AZ131" s="3">
        <v>1</v>
      </c>
      <c r="BA131" s="3" t="s">
        <v>192</v>
      </c>
      <c r="BB131" s="3" t="s">
        <v>192</v>
      </c>
      <c r="BC131" s="3">
        <v>1</v>
      </c>
      <c r="BD131" s="3" t="s">
        <v>192</v>
      </c>
      <c r="BE131" s="3" t="s">
        <v>192</v>
      </c>
      <c r="BF131" s="3">
        <v>1</v>
      </c>
      <c r="BG131" s="3" t="s">
        <v>192</v>
      </c>
      <c r="BH131" s="3">
        <v>1</v>
      </c>
      <c r="BI131" s="3" t="s">
        <v>192</v>
      </c>
      <c r="BJ131" s="3" t="s">
        <v>192</v>
      </c>
      <c r="BK131" s="3" t="s">
        <v>192</v>
      </c>
      <c r="BL131" s="3">
        <v>7</v>
      </c>
      <c r="BM131" s="3" t="s">
        <v>192</v>
      </c>
      <c r="BN131" s="3" t="s">
        <v>192</v>
      </c>
      <c r="BO131" s="3" t="s">
        <v>192</v>
      </c>
      <c r="BP131" s="3">
        <v>2</v>
      </c>
      <c r="BQ131" s="3" t="s">
        <v>192</v>
      </c>
      <c r="BR131" s="3" t="s">
        <v>192</v>
      </c>
      <c r="BS131" s="3" t="s">
        <v>192</v>
      </c>
      <c r="BT131" s="3" t="s">
        <v>192</v>
      </c>
      <c r="BU131" s="3" t="s">
        <v>192</v>
      </c>
      <c r="BV131" s="3" t="s">
        <v>192</v>
      </c>
      <c r="BW131" s="3" t="s">
        <v>192</v>
      </c>
      <c r="BX131" s="3" t="s">
        <v>192</v>
      </c>
      <c r="BY131" s="3" t="s">
        <v>192</v>
      </c>
      <c r="BZ131" s="3" t="s">
        <v>192</v>
      </c>
      <c r="CA131" s="3" t="s">
        <v>192</v>
      </c>
      <c r="CB131" s="3">
        <v>1</v>
      </c>
      <c r="CC131" s="3" t="s">
        <v>192</v>
      </c>
      <c r="CD131" s="3" t="s">
        <v>192</v>
      </c>
      <c r="CE131" s="3" t="s">
        <v>192</v>
      </c>
      <c r="CF131" s="3" t="s">
        <v>192</v>
      </c>
      <c r="CG131" s="3">
        <v>4</v>
      </c>
      <c r="CH131" s="3" t="s">
        <v>192</v>
      </c>
      <c r="CI131" s="3" t="s">
        <v>192</v>
      </c>
      <c r="CJ131" s="3" t="s">
        <v>192</v>
      </c>
      <c r="CK131" s="3" t="s">
        <v>192</v>
      </c>
      <c r="CL131" s="3" t="s">
        <v>192</v>
      </c>
      <c r="CM131" s="3" t="s">
        <v>192</v>
      </c>
      <c r="CN131" s="3" t="s">
        <v>192</v>
      </c>
      <c r="CO131" s="3" t="s">
        <v>192</v>
      </c>
      <c r="CP131" s="3">
        <v>3</v>
      </c>
      <c r="CQ131" s="3" t="s">
        <v>192</v>
      </c>
      <c r="CR131" s="3" t="s">
        <v>192</v>
      </c>
      <c r="CS131" s="3" t="s">
        <v>192</v>
      </c>
      <c r="CT131" s="1">
        <f>SUM(Table7[[#This Row],[Acyl_amino_acids]:[T3PKS]])</f>
        <v>25</v>
      </c>
      <c r="CU131" s="2" t="s">
        <v>566</v>
      </c>
      <c r="CW131" s="1">
        <f>Table7[[#This Row],[NRPS]]</f>
        <v>7</v>
      </c>
      <c r="CX131" s="1">
        <f>SUM(CP131,CR131,CS131,Table7[[#This Row],[T1PKS, T3PKS]])</f>
        <v>3</v>
      </c>
      <c r="CY131" s="1">
        <f t="shared" ref="CY131:CY188" si="2">SUM(BU131,BS131,BN131)</f>
        <v>0</v>
      </c>
      <c r="CZ131" s="1">
        <f>Table7[[#This Row],[Terpene]]</f>
        <v>4</v>
      </c>
      <c r="DA131" s="1">
        <f>SUM(Table7[[#This Row],[Thiopeptide]],BH131,BF131,BE131,BC131,AZ131,AX131,AW131,AJ131,AH131,N131,L131,J131,H131,I131,K131,R131,Q131,Table7[[#This Row],[Cyanobactin, LAP]])</f>
        <v>5</v>
      </c>
      <c r="DB131" s="1">
        <f>SUM(CO131,CN131,CL131,CK131,CJ131,CI131,CH131,CF131,CE131,CD131,CB131,CA131,BZ131,BY131,BX131,BW131,BV131,BT131,BR131,BQ131,BP131,BO131,BM131,BK131,BJ131,BI131,BG131,BD131,BB131,BA131,AY131,AV131,AU131,AT131,AS131,AR131,AQ131,AP131,AO131,AN131,AM131,AL131,AK131,AG131,AF131,AE131,AD131,AC131,AB131,AA131,Z131,Y131,X131,W131,V131,U131,T131,S131,P131,O131,M131,Table7[[#This Row],[Acyl_amino_acids]],E131,F131,G131,)</f>
        <v>6</v>
      </c>
    </row>
    <row r="132" spans="1:106" x14ac:dyDescent="0.25">
      <c r="A132" s="9" t="s">
        <v>648</v>
      </c>
      <c r="B132" s="1" t="s">
        <v>435</v>
      </c>
      <c r="C132" s="1" t="s">
        <v>370</v>
      </c>
      <c r="D132" s="3" t="s">
        <v>192</v>
      </c>
      <c r="E132" s="3" t="s">
        <v>192</v>
      </c>
      <c r="F132" s="3" t="s">
        <v>192</v>
      </c>
      <c r="G132" s="3" t="s">
        <v>192</v>
      </c>
      <c r="H132" s="3">
        <v>3</v>
      </c>
      <c r="I132" s="3" t="s">
        <v>192</v>
      </c>
      <c r="J132" s="3" t="s">
        <v>192</v>
      </c>
      <c r="K132" s="3" t="s">
        <v>192</v>
      </c>
      <c r="L132" s="3">
        <v>1</v>
      </c>
      <c r="M132" s="3" t="s">
        <v>192</v>
      </c>
      <c r="N132" s="3" t="s">
        <v>192</v>
      </c>
      <c r="O132" s="3" t="s">
        <v>192</v>
      </c>
      <c r="P132" s="3" t="s">
        <v>192</v>
      </c>
      <c r="Q132" s="3" t="s">
        <v>192</v>
      </c>
      <c r="R132" s="3" t="s">
        <v>192</v>
      </c>
      <c r="S132" s="3" t="s">
        <v>192</v>
      </c>
      <c r="T132" s="3" t="s">
        <v>192</v>
      </c>
      <c r="U132" s="3" t="s">
        <v>192</v>
      </c>
      <c r="V132" s="3" t="s">
        <v>192</v>
      </c>
      <c r="W132" s="3" t="s">
        <v>192</v>
      </c>
      <c r="X132" s="3" t="s">
        <v>192</v>
      </c>
      <c r="Y132" s="3" t="s">
        <v>192</v>
      </c>
      <c r="Z132" s="3" t="s">
        <v>192</v>
      </c>
      <c r="AA132" s="3" t="s">
        <v>192</v>
      </c>
      <c r="AB132" s="3" t="s">
        <v>192</v>
      </c>
      <c r="AC132" s="3" t="s">
        <v>192</v>
      </c>
      <c r="AD132" s="3" t="s">
        <v>192</v>
      </c>
      <c r="AE132" s="3" t="s">
        <v>192</v>
      </c>
      <c r="AF132" s="3" t="s">
        <v>192</v>
      </c>
      <c r="AG132" s="3" t="s">
        <v>192</v>
      </c>
      <c r="AH132" s="3" t="s">
        <v>192</v>
      </c>
      <c r="AI132" s="3" t="s">
        <v>192</v>
      </c>
      <c r="AJ132" s="3" t="s">
        <v>192</v>
      </c>
      <c r="AK132" s="3" t="s">
        <v>192</v>
      </c>
      <c r="AL132" s="3" t="s">
        <v>192</v>
      </c>
      <c r="AM132" s="3" t="s">
        <v>192</v>
      </c>
      <c r="AN132" s="3" t="s">
        <v>192</v>
      </c>
      <c r="AO132" s="3" t="s">
        <v>192</v>
      </c>
      <c r="AP132" s="3" t="s">
        <v>192</v>
      </c>
      <c r="AQ132" s="3">
        <v>1</v>
      </c>
      <c r="AR132" s="3" t="s">
        <v>192</v>
      </c>
      <c r="AS132" s="3" t="s">
        <v>192</v>
      </c>
      <c r="AT132" s="3">
        <v>1</v>
      </c>
      <c r="AU132" s="3" t="s">
        <v>192</v>
      </c>
      <c r="AV132" s="3" t="s">
        <v>192</v>
      </c>
      <c r="AW132" s="3" t="s">
        <v>192</v>
      </c>
      <c r="AX132" s="3" t="s">
        <v>192</v>
      </c>
      <c r="AY132" s="3" t="s">
        <v>192</v>
      </c>
      <c r="AZ132" s="3">
        <v>1</v>
      </c>
      <c r="BA132" s="3" t="s">
        <v>192</v>
      </c>
      <c r="BB132" s="3" t="s">
        <v>192</v>
      </c>
      <c r="BC132" s="3" t="s">
        <v>192</v>
      </c>
      <c r="BD132" s="3" t="s">
        <v>192</v>
      </c>
      <c r="BE132" s="3" t="s">
        <v>192</v>
      </c>
      <c r="BF132" s="3">
        <v>1</v>
      </c>
      <c r="BG132" s="3" t="s">
        <v>192</v>
      </c>
      <c r="BH132" s="3" t="s">
        <v>192</v>
      </c>
      <c r="BI132" s="3" t="s">
        <v>192</v>
      </c>
      <c r="BJ132" s="3" t="s">
        <v>192</v>
      </c>
      <c r="BK132" s="3" t="s">
        <v>192</v>
      </c>
      <c r="BL132" s="3">
        <v>6</v>
      </c>
      <c r="BM132" s="3" t="s">
        <v>192</v>
      </c>
      <c r="BN132" s="3" t="s">
        <v>192</v>
      </c>
      <c r="BO132" s="3" t="s">
        <v>192</v>
      </c>
      <c r="BP132" s="3" t="s">
        <v>192</v>
      </c>
      <c r="BQ132" s="3" t="s">
        <v>192</v>
      </c>
      <c r="BR132" s="3" t="s">
        <v>192</v>
      </c>
      <c r="BS132" s="3">
        <v>3</v>
      </c>
      <c r="BT132" s="3" t="s">
        <v>192</v>
      </c>
      <c r="BU132" s="3" t="s">
        <v>192</v>
      </c>
      <c r="BV132" s="3" t="s">
        <v>192</v>
      </c>
      <c r="BW132" s="3" t="s">
        <v>192</v>
      </c>
      <c r="BX132" s="3" t="s">
        <v>192</v>
      </c>
      <c r="BY132" s="3" t="s">
        <v>192</v>
      </c>
      <c r="BZ132" s="3" t="s">
        <v>192</v>
      </c>
      <c r="CA132" s="3" t="s">
        <v>192</v>
      </c>
      <c r="CB132" s="3" t="s">
        <v>192</v>
      </c>
      <c r="CC132" s="3" t="s">
        <v>192</v>
      </c>
      <c r="CD132" s="3" t="s">
        <v>192</v>
      </c>
      <c r="CE132" s="3" t="s">
        <v>192</v>
      </c>
      <c r="CF132" s="3" t="s">
        <v>192</v>
      </c>
      <c r="CG132" s="3">
        <v>5</v>
      </c>
      <c r="CH132" s="3" t="s">
        <v>192</v>
      </c>
      <c r="CI132" s="3" t="s">
        <v>192</v>
      </c>
      <c r="CJ132" s="3" t="s">
        <v>192</v>
      </c>
      <c r="CK132" s="3" t="s">
        <v>192</v>
      </c>
      <c r="CL132" s="3" t="s">
        <v>192</v>
      </c>
      <c r="CM132" s="3" t="s">
        <v>192</v>
      </c>
      <c r="CN132" s="3" t="s">
        <v>192</v>
      </c>
      <c r="CO132" s="3" t="s">
        <v>192</v>
      </c>
      <c r="CP132" s="3">
        <v>2</v>
      </c>
      <c r="CQ132" s="3" t="s">
        <v>192</v>
      </c>
      <c r="CR132" s="3" t="s">
        <v>192</v>
      </c>
      <c r="CS132" s="3" t="s">
        <v>192</v>
      </c>
      <c r="CT132" s="1">
        <f>SUM(Table7[[#This Row],[Acyl_amino_acids]:[T3PKS]])</f>
        <v>24</v>
      </c>
      <c r="CU132" s="3" t="s">
        <v>196</v>
      </c>
      <c r="CW132" s="1">
        <f>Table7[[#This Row],[NRPS]]</f>
        <v>6</v>
      </c>
      <c r="CX132" s="1">
        <f>SUM(CP132,CR132,CS132,Table7[[#This Row],[T1PKS, T3PKS]])</f>
        <v>2</v>
      </c>
      <c r="CY132" s="1">
        <f t="shared" si="2"/>
        <v>3</v>
      </c>
      <c r="CZ132" s="1">
        <f>Table7[[#This Row],[Terpene]]</f>
        <v>5</v>
      </c>
      <c r="DA132" s="1">
        <f>SUM(Table7[[#This Row],[Thiopeptide]],BH132,BF132,BE132,BC132,AZ132,AX132,AW132,AJ132,AH132,N132,L132,J132,H132,I132,K132,R132,Q132,Table7[[#This Row],[Cyanobactin, LAP]])</f>
        <v>6</v>
      </c>
      <c r="DB132" s="1">
        <f>SUM(CO132,CN132,CL132,CK132,CJ132,CI132,CH132,CF132,CE132,CD132,CB132,CA132,BZ132,BY132,BX132,BW132,BV132,BT132,BR132,BQ132,BP132,BO132,BM132,BK132,BJ132,BI132,BG132,BD132,BB132,BA132,AY132,AV132,AU132,AT132,AS132,AR132,AQ132,AP132,AO132,AN132,AM132,AL132,AK132,AG132,AF132,AE132,AD132,AC132,AB132,AA132,Z132,Y132,X132,W132,V132,U132,T132,S132,P132,O132,M132,Table7[[#This Row],[Acyl_amino_acids]],E132,F132,G132,)</f>
        <v>2</v>
      </c>
    </row>
    <row r="133" spans="1:106" x14ac:dyDescent="0.25">
      <c r="A133" s="9" t="s">
        <v>769</v>
      </c>
      <c r="B133" s="1" t="s">
        <v>435</v>
      </c>
      <c r="C133" s="1" t="s">
        <v>369</v>
      </c>
      <c r="D133" s="3" t="s">
        <v>192</v>
      </c>
      <c r="E133" s="3" t="s">
        <v>192</v>
      </c>
      <c r="F133" s="3" t="s">
        <v>192</v>
      </c>
      <c r="G133" s="3" t="s">
        <v>192</v>
      </c>
      <c r="H133" s="3" t="s">
        <v>192</v>
      </c>
      <c r="I133" s="3" t="s">
        <v>192</v>
      </c>
      <c r="J133" s="3" t="s">
        <v>192</v>
      </c>
      <c r="K133" s="3" t="s">
        <v>192</v>
      </c>
      <c r="L133" s="3" t="s">
        <v>192</v>
      </c>
      <c r="M133" s="3" t="s">
        <v>192</v>
      </c>
      <c r="N133" s="3" t="s">
        <v>192</v>
      </c>
      <c r="O133" s="3" t="s">
        <v>192</v>
      </c>
      <c r="P133" s="3" t="s">
        <v>192</v>
      </c>
      <c r="Q133" s="3" t="s">
        <v>192</v>
      </c>
      <c r="R133" s="3" t="s">
        <v>192</v>
      </c>
      <c r="S133" s="3" t="s">
        <v>192</v>
      </c>
      <c r="T133" s="3" t="s">
        <v>192</v>
      </c>
      <c r="U133" s="3" t="s">
        <v>192</v>
      </c>
      <c r="V133" s="3" t="s">
        <v>192</v>
      </c>
      <c r="W133" s="3" t="s">
        <v>192</v>
      </c>
      <c r="X133" s="3" t="s">
        <v>192</v>
      </c>
      <c r="Y133" s="3" t="s">
        <v>192</v>
      </c>
      <c r="Z133" s="3" t="s">
        <v>192</v>
      </c>
      <c r="AA133" s="3">
        <v>1</v>
      </c>
      <c r="AB133" s="3" t="s">
        <v>192</v>
      </c>
      <c r="AC133" s="3" t="s">
        <v>192</v>
      </c>
      <c r="AD133" s="3" t="s">
        <v>192</v>
      </c>
      <c r="AE133" s="3" t="s">
        <v>192</v>
      </c>
      <c r="AF133" s="3" t="s">
        <v>192</v>
      </c>
      <c r="AG133" s="3" t="s">
        <v>192</v>
      </c>
      <c r="AH133" s="3" t="s">
        <v>192</v>
      </c>
      <c r="AI133" s="3" t="s">
        <v>192</v>
      </c>
      <c r="AJ133" s="3" t="s">
        <v>192</v>
      </c>
      <c r="AK133" s="3" t="s">
        <v>192</v>
      </c>
      <c r="AL133" s="3">
        <v>1</v>
      </c>
      <c r="AM133" s="3" t="s">
        <v>192</v>
      </c>
      <c r="AN133" s="3" t="s">
        <v>192</v>
      </c>
      <c r="AO133" s="3" t="s">
        <v>192</v>
      </c>
      <c r="AP133" s="3" t="s">
        <v>192</v>
      </c>
      <c r="AQ133" s="3">
        <v>1</v>
      </c>
      <c r="AR133" s="3" t="s">
        <v>192</v>
      </c>
      <c r="AS133" s="3" t="s">
        <v>192</v>
      </c>
      <c r="AT133" s="3" t="s">
        <v>192</v>
      </c>
      <c r="AU133" s="3" t="s">
        <v>192</v>
      </c>
      <c r="AV133" s="3" t="s">
        <v>192</v>
      </c>
      <c r="AW133" s="3">
        <v>1</v>
      </c>
      <c r="AX133" s="3" t="s">
        <v>192</v>
      </c>
      <c r="AY133" s="3" t="s">
        <v>192</v>
      </c>
      <c r="AZ133" s="3" t="s">
        <v>192</v>
      </c>
      <c r="BA133" s="3" t="s">
        <v>192</v>
      </c>
      <c r="BB133" s="3" t="s">
        <v>192</v>
      </c>
      <c r="BC133" s="3" t="s">
        <v>192</v>
      </c>
      <c r="BD133" s="3" t="s">
        <v>192</v>
      </c>
      <c r="BE133" s="3" t="s">
        <v>192</v>
      </c>
      <c r="BF133" s="3" t="s">
        <v>192</v>
      </c>
      <c r="BG133" s="3" t="s">
        <v>192</v>
      </c>
      <c r="BH133" s="3" t="s">
        <v>192</v>
      </c>
      <c r="BI133" s="3" t="s">
        <v>192</v>
      </c>
      <c r="BJ133" s="3" t="s">
        <v>192</v>
      </c>
      <c r="BK133" s="3" t="s">
        <v>192</v>
      </c>
      <c r="BL133" s="3" t="s">
        <v>192</v>
      </c>
      <c r="BM133" s="3" t="s">
        <v>192</v>
      </c>
      <c r="BN133" s="3" t="s">
        <v>192</v>
      </c>
      <c r="BO133" s="3" t="s">
        <v>192</v>
      </c>
      <c r="BP133" s="3" t="s">
        <v>192</v>
      </c>
      <c r="BQ133" s="3" t="s">
        <v>192</v>
      </c>
      <c r="BR133" s="3" t="s">
        <v>192</v>
      </c>
      <c r="BS133" s="3" t="s">
        <v>192</v>
      </c>
      <c r="BT133" s="3" t="s">
        <v>192</v>
      </c>
      <c r="BU133" s="3" t="s">
        <v>192</v>
      </c>
      <c r="BV133" s="3" t="s">
        <v>192</v>
      </c>
      <c r="BW133" s="3" t="s">
        <v>192</v>
      </c>
      <c r="BX133" s="3" t="s">
        <v>192</v>
      </c>
      <c r="BY133" s="3" t="s">
        <v>192</v>
      </c>
      <c r="BZ133" s="3" t="s">
        <v>192</v>
      </c>
      <c r="CA133" s="3" t="s">
        <v>192</v>
      </c>
      <c r="CB133" s="3" t="s">
        <v>192</v>
      </c>
      <c r="CC133" s="3" t="s">
        <v>192</v>
      </c>
      <c r="CD133" s="3" t="s">
        <v>192</v>
      </c>
      <c r="CE133" s="3" t="s">
        <v>192</v>
      </c>
      <c r="CF133" s="3" t="s">
        <v>192</v>
      </c>
      <c r="CG133" s="3">
        <v>3</v>
      </c>
      <c r="CH133" s="3" t="s">
        <v>192</v>
      </c>
      <c r="CI133" s="3" t="s">
        <v>192</v>
      </c>
      <c r="CJ133" s="3" t="s">
        <v>192</v>
      </c>
      <c r="CK133" s="3" t="s">
        <v>192</v>
      </c>
      <c r="CL133" s="3" t="s">
        <v>192</v>
      </c>
      <c r="CM133" s="3" t="s">
        <v>192</v>
      </c>
      <c r="CN133" s="3" t="s">
        <v>192</v>
      </c>
      <c r="CO133" s="3" t="s">
        <v>192</v>
      </c>
      <c r="CP133" s="3" t="s">
        <v>192</v>
      </c>
      <c r="CQ133" s="3" t="s">
        <v>192</v>
      </c>
      <c r="CR133" s="3" t="s">
        <v>192</v>
      </c>
      <c r="CS133" s="3" t="s">
        <v>192</v>
      </c>
      <c r="CT133" s="1">
        <f>SUM(Table7[[#This Row],[Acyl_amino_acids]:[T3PKS]])</f>
        <v>7</v>
      </c>
      <c r="CU133" s="3" t="s">
        <v>928</v>
      </c>
      <c r="CW133" s="1" t="str">
        <f>Table7[[#This Row],[NRPS]]</f>
        <v>-</v>
      </c>
      <c r="CX133" s="1">
        <f>SUM(CP133,CR133,CS133,Table7[[#This Row],[T1PKS, T3PKS]])</f>
        <v>0</v>
      </c>
      <c r="CY133" s="1">
        <f t="shared" si="2"/>
        <v>0</v>
      </c>
      <c r="CZ133" s="1">
        <f>Table7[[#This Row],[Terpene]]</f>
        <v>3</v>
      </c>
      <c r="DA133" s="1">
        <f>SUM(Table7[[#This Row],[Thiopeptide]],BH133,BF133,BE133,BC133,AZ133,AX133,AW133,AJ133,AH133,N133,L133,J133,H133,I133,K133,R133,Q133,Table7[[#This Row],[Cyanobactin, LAP]])</f>
        <v>1</v>
      </c>
      <c r="DB133" s="1">
        <f>SUM(CO133,CN133,CL133,CK133,CJ133,CI133,CH133,CF133,CE133,CD133,CB133,CA133,BZ133,BY133,BX133,BW133,BV133,BT133,BR133,BQ133,BP133,BO133,BM133,BK133,BJ133,BI133,BG133,BD133,BB133,BA133,AY133,AV133,AU133,AT133,AS133,AR133,AQ133,AP133,AO133,AN133,AM133,AL133,AK133,AG133,AF133,AE133,AD133,AC133,AB133,AA133,Z133,Y133,X133,W133,V133,U133,T133,S133,P133,O133,M133,Table7[[#This Row],[Acyl_amino_acids]],E133,F133,G133,)</f>
        <v>3</v>
      </c>
    </row>
    <row r="134" spans="1:106" x14ac:dyDescent="0.25">
      <c r="A134" s="9" t="s">
        <v>637</v>
      </c>
      <c r="B134" s="1" t="s">
        <v>435</v>
      </c>
      <c r="C134" s="1" t="s">
        <v>371</v>
      </c>
      <c r="D134" s="1" t="s">
        <v>192</v>
      </c>
      <c r="E134" s="1" t="s">
        <v>192</v>
      </c>
      <c r="F134" s="3" t="s">
        <v>192</v>
      </c>
      <c r="G134" s="3" t="s">
        <v>192</v>
      </c>
      <c r="H134" s="3">
        <v>1</v>
      </c>
      <c r="I134" s="3" t="s">
        <v>192</v>
      </c>
      <c r="J134" s="3" t="s">
        <v>192</v>
      </c>
      <c r="K134" s="3" t="s">
        <v>192</v>
      </c>
      <c r="L134" s="3" t="s">
        <v>192</v>
      </c>
      <c r="M134" s="3" t="s">
        <v>192</v>
      </c>
      <c r="N134" s="3" t="s">
        <v>192</v>
      </c>
      <c r="O134" s="3" t="s">
        <v>192</v>
      </c>
      <c r="P134" s="3" t="s">
        <v>192</v>
      </c>
      <c r="Q134" s="3" t="s">
        <v>192</v>
      </c>
      <c r="R134" s="3" t="s">
        <v>192</v>
      </c>
      <c r="S134" s="3" t="s">
        <v>192</v>
      </c>
      <c r="T134" s="3" t="s">
        <v>192</v>
      </c>
      <c r="U134" s="3" t="s">
        <v>192</v>
      </c>
      <c r="V134" s="3" t="s">
        <v>192</v>
      </c>
      <c r="W134" s="3" t="s">
        <v>192</v>
      </c>
      <c r="X134" s="3" t="s">
        <v>192</v>
      </c>
      <c r="Y134" s="3" t="s">
        <v>192</v>
      </c>
      <c r="Z134" s="3" t="s">
        <v>192</v>
      </c>
      <c r="AA134" s="3" t="s">
        <v>192</v>
      </c>
      <c r="AB134" s="3" t="s">
        <v>192</v>
      </c>
      <c r="AC134" s="3">
        <v>1</v>
      </c>
      <c r="AD134" s="3" t="s">
        <v>192</v>
      </c>
      <c r="AE134" s="3" t="s">
        <v>192</v>
      </c>
      <c r="AF134" s="3" t="s">
        <v>192</v>
      </c>
      <c r="AG134" s="3" t="s">
        <v>192</v>
      </c>
      <c r="AH134" s="3" t="s">
        <v>192</v>
      </c>
      <c r="AI134" s="3" t="s">
        <v>192</v>
      </c>
      <c r="AJ134" s="3" t="s">
        <v>192</v>
      </c>
      <c r="AK134" s="3" t="s">
        <v>192</v>
      </c>
      <c r="AL134" s="3" t="s">
        <v>192</v>
      </c>
      <c r="AM134" s="3" t="s">
        <v>192</v>
      </c>
      <c r="AN134" s="3" t="s">
        <v>192</v>
      </c>
      <c r="AO134" s="3" t="s">
        <v>192</v>
      </c>
      <c r="AP134" s="3" t="s">
        <v>192</v>
      </c>
      <c r="AQ134" s="3" t="s">
        <v>192</v>
      </c>
      <c r="AR134" s="3" t="s">
        <v>192</v>
      </c>
      <c r="AS134" s="3" t="s">
        <v>192</v>
      </c>
      <c r="AT134" s="3" t="s">
        <v>192</v>
      </c>
      <c r="AU134" s="3" t="s">
        <v>192</v>
      </c>
      <c r="AV134" s="3" t="s">
        <v>192</v>
      </c>
      <c r="AW134" s="3" t="s">
        <v>192</v>
      </c>
      <c r="AX134" s="3" t="s">
        <v>192</v>
      </c>
      <c r="AY134" s="3" t="s">
        <v>192</v>
      </c>
      <c r="AZ134" s="3">
        <v>1</v>
      </c>
      <c r="BA134" s="3" t="s">
        <v>192</v>
      </c>
      <c r="BB134" s="3" t="s">
        <v>192</v>
      </c>
      <c r="BC134" s="3" t="s">
        <v>192</v>
      </c>
      <c r="BD134" s="3" t="s">
        <v>192</v>
      </c>
      <c r="BE134" s="3" t="s">
        <v>192</v>
      </c>
      <c r="BF134" s="3">
        <v>1</v>
      </c>
      <c r="BG134" s="3" t="s">
        <v>192</v>
      </c>
      <c r="BH134" s="3" t="s">
        <v>192</v>
      </c>
      <c r="BI134" s="3" t="s">
        <v>192</v>
      </c>
      <c r="BJ134" s="3" t="s">
        <v>192</v>
      </c>
      <c r="BK134" s="3" t="s">
        <v>192</v>
      </c>
      <c r="BL134" s="3">
        <v>1</v>
      </c>
      <c r="BM134" s="3" t="s">
        <v>192</v>
      </c>
      <c r="BN134" s="3" t="s">
        <v>192</v>
      </c>
      <c r="BO134" s="3" t="s">
        <v>192</v>
      </c>
      <c r="BP134" s="3" t="s">
        <v>192</v>
      </c>
      <c r="BQ134" s="3" t="s">
        <v>192</v>
      </c>
      <c r="BR134" s="3" t="s">
        <v>192</v>
      </c>
      <c r="BS134" s="3">
        <v>2</v>
      </c>
      <c r="BT134" s="3" t="s">
        <v>192</v>
      </c>
      <c r="BU134" s="3" t="s">
        <v>192</v>
      </c>
      <c r="BV134" s="3" t="s">
        <v>192</v>
      </c>
      <c r="BW134" s="3" t="s">
        <v>192</v>
      </c>
      <c r="BX134" s="3" t="s">
        <v>192</v>
      </c>
      <c r="BY134" s="3" t="s">
        <v>192</v>
      </c>
      <c r="BZ134" s="3" t="s">
        <v>192</v>
      </c>
      <c r="CA134" s="3" t="s">
        <v>192</v>
      </c>
      <c r="CB134" s="3" t="s">
        <v>192</v>
      </c>
      <c r="CC134" s="3" t="s">
        <v>192</v>
      </c>
      <c r="CD134" s="3" t="s">
        <v>192</v>
      </c>
      <c r="CE134" s="3" t="s">
        <v>192</v>
      </c>
      <c r="CF134" s="3" t="s">
        <v>192</v>
      </c>
      <c r="CG134" s="3">
        <v>3</v>
      </c>
      <c r="CH134" s="3" t="s">
        <v>192</v>
      </c>
      <c r="CI134" s="3" t="s">
        <v>192</v>
      </c>
      <c r="CJ134" s="3" t="s">
        <v>192</v>
      </c>
      <c r="CK134" s="3" t="s">
        <v>192</v>
      </c>
      <c r="CL134" s="3" t="s">
        <v>192</v>
      </c>
      <c r="CM134" s="3" t="s">
        <v>192</v>
      </c>
      <c r="CN134" s="3">
        <v>1</v>
      </c>
      <c r="CO134" s="3" t="s">
        <v>192</v>
      </c>
      <c r="CP134" s="3">
        <v>1</v>
      </c>
      <c r="CQ134" s="3" t="s">
        <v>192</v>
      </c>
      <c r="CR134" s="3" t="s">
        <v>192</v>
      </c>
      <c r="CS134" s="3" t="s">
        <v>192</v>
      </c>
      <c r="CT134" s="1">
        <f>SUM(Table7[[#This Row],[Acyl_amino_acids]:[T3PKS]])</f>
        <v>12</v>
      </c>
      <c r="CU134" s="3" t="s">
        <v>192</v>
      </c>
      <c r="CW134" s="1">
        <f>Table7[[#This Row],[NRPS]]</f>
        <v>1</v>
      </c>
      <c r="CX134" s="1">
        <f>SUM(CP134,CR134,CS134,Table7[[#This Row],[T1PKS, T3PKS]])</f>
        <v>1</v>
      </c>
      <c r="CY134" s="1">
        <f t="shared" si="2"/>
        <v>2</v>
      </c>
      <c r="CZ134" s="1">
        <f>Table7[[#This Row],[Terpene]]</f>
        <v>3</v>
      </c>
      <c r="DA134" s="1">
        <f>SUM(Table7[[#This Row],[Thiopeptide]],BH134,BF134,BE134,BC134,AZ134,AX134,AW134,AJ134,AH134,N134,L134,J134,H134,I134,K134,R134,Q134,Table7[[#This Row],[Cyanobactin, LAP]])</f>
        <v>3</v>
      </c>
      <c r="DB134" s="1">
        <f>SUM(CO134,CN134,CL134,CK134,CJ134,CI134,CH134,CF134,CE134,CD134,CB134,CA134,BZ134,BY134,BX134,BW134,BV134,BT134,BR134,BQ134,BP134,BO134,BM134,BK134,BJ134,BI134,BG134,BD134,BB134,BA134,AY134,AV134,AU134,AT134,AS134,AR134,AQ134,AP134,AO134,AN134,AM134,AL134,AK134,AG134,AF134,AE134,AD134,AC134,AB134,AA134,Z134,Y134,X134,W134,V134,U134,T134,S134,P134,O134,M134,Table7[[#This Row],[Acyl_amino_acids]],E134,F134,G134,)</f>
        <v>2</v>
      </c>
    </row>
    <row r="135" spans="1:106" x14ac:dyDescent="0.25">
      <c r="A135" s="9" t="s">
        <v>752</v>
      </c>
      <c r="B135" s="1" t="s">
        <v>435</v>
      </c>
      <c r="C135" s="1" t="s">
        <v>372</v>
      </c>
      <c r="D135" s="1" t="s">
        <v>192</v>
      </c>
      <c r="E135" s="3" t="s">
        <v>192</v>
      </c>
      <c r="F135" s="3" t="s">
        <v>192</v>
      </c>
      <c r="G135" s="3" t="s">
        <v>192</v>
      </c>
      <c r="H135" s="3" t="s">
        <v>192</v>
      </c>
      <c r="I135" s="3" t="s">
        <v>192</v>
      </c>
      <c r="J135" s="3" t="s">
        <v>192</v>
      </c>
      <c r="K135" s="3" t="s">
        <v>192</v>
      </c>
      <c r="L135" s="3" t="s">
        <v>192</v>
      </c>
      <c r="M135" s="3" t="s">
        <v>192</v>
      </c>
      <c r="N135" s="3" t="s">
        <v>192</v>
      </c>
      <c r="O135" s="3" t="s">
        <v>192</v>
      </c>
      <c r="P135" s="3" t="s">
        <v>192</v>
      </c>
      <c r="Q135" s="3" t="s">
        <v>192</v>
      </c>
      <c r="R135" s="3" t="s">
        <v>192</v>
      </c>
      <c r="S135" s="3" t="s">
        <v>192</v>
      </c>
      <c r="T135" s="3" t="s">
        <v>192</v>
      </c>
      <c r="U135" s="3" t="s">
        <v>192</v>
      </c>
      <c r="V135" s="3" t="s">
        <v>192</v>
      </c>
      <c r="W135" s="3" t="s">
        <v>192</v>
      </c>
      <c r="X135" s="3" t="s">
        <v>192</v>
      </c>
      <c r="Y135" s="3" t="s">
        <v>192</v>
      </c>
      <c r="Z135" s="3" t="s">
        <v>192</v>
      </c>
      <c r="AA135" s="3" t="s">
        <v>192</v>
      </c>
      <c r="AB135" s="3" t="s">
        <v>192</v>
      </c>
      <c r="AC135" s="3" t="s">
        <v>192</v>
      </c>
      <c r="AD135" s="3" t="s">
        <v>192</v>
      </c>
      <c r="AE135" s="3" t="s">
        <v>192</v>
      </c>
      <c r="AF135" s="3" t="s">
        <v>192</v>
      </c>
      <c r="AG135" s="3" t="s">
        <v>192</v>
      </c>
      <c r="AH135" s="3" t="s">
        <v>192</v>
      </c>
      <c r="AI135" s="3" t="s">
        <v>192</v>
      </c>
      <c r="AJ135" s="3" t="s">
        <v>192</v>
      </c>
      <c r="AK135" s="3" t="s">
        <v>192</v>
      </c>
      <c r="AL135" s="3" t="s">
        <v>192</v>
      </c>
      <c r="AM135" s="3" t="s">
        <v>192</v>
      </c>
      <c r="AN135" s="3" t="s">
        <v>192</v>
      </c>
      <c r="AO135" s="3" t="s">
        <v>192</v>
      </c>
      <c r="AP135" s="3" t="s">
        <v>192</v>
      </c>
      <c r="AQ135" s="3" t="s">
        <v>192</v>
      </c>
      <c r="AR135" s="3" t="s">
        <v>192</v>
      </c>
      <c r="AS135" s="3" t="s">
        <v>192</v>
      </c>
      <c r="AT135" s="3" t="s">
        <v>192</v>
      </c>
      <c r="AU135" s="3" t="s">
        <v>192</v>
      </c>
      <c r="AV135" s="3" t="s">
        <v>192</v>
      </c>
      <c r="AW135" s="3" t="s">
        <v>192</v>
      </c>
      <c r="AX135" s="3" t="s">
        <v>192</v>
      </c>
      <c r="AY135" s="3" t="s">
        <v>192</v>
      </c>
      <c r="AZ135" s="3">
        <v>1</v>
      </c>
      <c r="BA135" s="3" t="s">
        <v>192</v>
      </c>
      <c r="BB135" s="3" t="s">
        <v>192</v>
      </c>
      <c r="BC135" s="3" t="s">
        <v>192</v>
      </c>
      <c r="BD135" s="3" t="s">
        <v>192</v>
      </c>
      <c r="BE135" s="3" t="s">
        <v>192</v>
      </c>
      <c r="BF135" s="3" t="s">
        <v>192</v>
      </c>
      <c r="BG135" s="3" t="s">
        <v>192</v>
      </c>
      <c r="BH135" s="3" t="s">
        <v>192</v>
      </c>
      <c r="BI135" s="3" t="s">
        <v>192</v>
      </c>
      <c r="BJ135" s="3" t="s">
        <v>192</v>
      </c>
      <c r="BK135" s="3" t="s">
        <v>192</v>
      </c>
      <c r="BL135" s="3">
        <v>3</v>
      </c>
      <c r="BM135" s="3" t="s">
        <v>192</v>
      </c>
      <c r="BN135" s="3" t="s">
        <v>192</v>
      </c>
      <c r="BO135" s="3" t="s">
        <v>192</v>
      </c>
      <c r="BP135" s="3" t="s">
        <v>192</v>
      </c>
      <c r="BQ135" s="3" t="s">
        <v>192</v>
      </c>
      <c r="BR135" s="3" t="s">
        <v>192</v>
      </c>
      <c r="BS135" s="3">
        <v>2</v>
      </c>
      <c r="BT135" s="3" t="s">
        <v>192</v>
      </c>
      <c r="BU135" s="3" t="s">
        <v>192</v>
      </c>
      <c r="BV135" s="3" t="s">
        <v>192</v>
      </c>
      <c r="BW135" s="3" t="s">
        <v>192</v>
      </c>
      <c r="BX135" s="3" t="s">
        <v>192</v>
      </c>
      <c r="BY135" s="3" t="s">
        <v>192</v>
      </c>
      <c r="BZ135" s="3" t="s">
        <v>192</v>
      </c>
      <c r="CA135" s="3" t="s">
        <v>192</v>
      </c>
      <c r="CB135" s="3" t="s">
        <v>192</v>
      </c>
      <c r="CC135" s="3" t="s">
        <v>192</v>
      </c>
      <c r="CD135" s="3" t="s">
        <v>192</v>
      </c>
      <c r="CE135" s="3" t="s">
        <v>192</v>
      </c>
      <c r="CF135" s="3" t="s">
        <v>192</v>
      </c>
      <c r="CG135" s="3">
        <v>3</v>
      </c>
      <c r="CH135" s="3" t="s">
        <v>192</v>
      </c>
      <c r="CI135" s="3" t="s">
        <v>192</v>
      </c>
      <c r="CJ135" s="3" t="s">
        <v>192</v>
      </c>
      <c r="CK135" s="3" t="s">
        <v>192</v>
      </c>
      <c r="CL135" s="3" t="s">
        <v>192</v>
      </c>
      <c r="CM135" s="3" t="s">
        <v>192</v>
      </c>
      <c r="CN135" s="3" t="s">
        <v>192</v>
      </c>
      <c r="CO135" s="3" t="s">
        <v>192</v>
      </c>
      <c r="CP135" s="3" t="s">
        <v>192</v>
      </c>
      <c r="CQ135" s="3" t="s">
        <v>192</v>
      </c>
      <c r="CR135" s="3" t="s">
        <v>192</v>
      </c>
      <c r="CS135" s="3" t="s">
        <v>192</v>
      </c>
      <c r="CT135" s="1">
        <f>SUM(Table7[[#This Row],[Acyl_amino_acids]:[T3PKS]])</f>
        <v>9</v>
      </c>
      <c r="CU135" s="3" t="s">
        <v>192</v>
      </c>
      <c r="CW135" s="1">
        <f>Table7[[#This Row],[NRPS]]</f>
        <v>3</v>
      </c>
      <c r="CX135" s="1">
        <f>SUM(CP135,CR135,CS135,Table7[[#This Row],[T1PKS, T3PKS]])</f>
        <v>0</v>
      </c>
      <c r="CY135" s="1">
        <f t="shared" si="2"/>
        <v>2</v>
      </c>
      <c r="CZ135" s="1">
        <f>Table7[[#This Row],[Terpene]]</f>
        <v>3</v>
      </c>
      <c r="DA135" s="1">
        <f>SUM(Table7[[#This Row],[Thiopeptide]],BH135,BF135,BE135,BC135,AZ135,AX135,AW135,AJ135,AH135,N135,L135,J135,H135,I135,K135,R135,Q135,Table7[[#This Row],[Cyanobactin, LAP]])</f>
        <v>1</v>
      </c>
      <c r="DB135" s="1">
        <f>SUM(CO135,CN135,CL135,CK135,CJ135,CI135,CH135,CF135,CE135,CD135,CB135,CA135,BZ135,BY135,BX135,BW135,BV135,BT135,BR135,BQ135,BP135,BO135,BM135,BK135,BJ135,BI135,BG135,BD135,BB135,BA135,AY135,AV135,AU135,AT135,AS135,AR135,AQ135,AP135,AO135,AN135,AM135,AL135,AK135,AG135,AF135,AE135,AD135,AC135,AB135,AA135,Z135,Y135,X135,W135,V135,U135,T135,S135,P135,O135,M135,Table7[[#This Row],[Acyl_amino_acids]],E135,F135,G135,)</f>
        <v>0</v>
      </c>
    </row>
    <row r="136" spans="1:106" x14ac:dyDescent="0.25">
      <c r="A136" s="9" t="s">
        <v>795</v>
      </c>
      <c r="B136" s="1" t="s">
        <v>435</v>
      </c>
      <c r="C136" s="1" t="s">
        <v>373</v>
      </c>
      <c r="D136" s="3" t="s">
        <v>192</v>
      </c>
      <c r="E136" s="3" t="s">
        <v>192</v>
      </c>
      <c r="F136" s="3" t="s">
        <v>192</v>
      </c>
      <c r="G136" s="3" t="s">
        <v>192</v>
      </c>
      <c r="H136" s="3">
        <v>1</v>
      </c>
      <c r="I136" s="3" t="s">
        <v>192</v>
      </c>
      <c r="J136" s="3" t="s">
        <v>192</v>
      </c>
      <c r="K136" s="3" t="s">
        <v>192</v>
      </c>
      <c r="L136" s="3" t="s">
        <v>192</v>
      </c>
      <c r="M136" s="3" t="s">
        <v>192</v>
      </c>
      <c r="N136" s="3" t="s">
        <v>192</v>
      </c>
      <c r="O136" s="3" t="s">
        <v>192</v>
      </c>
      <c r="P136" s="3" t="s">
        <v>192</v>
      </c>
      <c r="Q136" s="3" t="s">
        <v>192</v>
      </c>
      <c r="R136" s="3" t="s">
        <v>192</v>
      </c>
      <c r="S136" s="3" t="s">
        <v>192</v>
      </c>
      <c r="T136" s="3" t="s">
        <v>192</v>
      </c>
      <c r="U136" s="3" t="s">
        <v>192</v>
      </c>
      <c r="V136" s="3" t="s">
        <v>192</v>
      </c>
      <c r="W136" s="3" t="s">
        <v>192</v>
      </c>
      <c r="X136" s="3" t="s">
        <v>192</v>
      </c>
      <c r="Y136" s="3" t="s">
        <v>192</v>
      </c>
      <c r="Z136" s="3" t="s">
        <v>192</v>
      </c>
      <c r="AA136" s="3" t="s">
        <v>192</v>
      </c>
      <c r="AB136" s="3" t="s">
        <v>192</v>
      </c>
      <c r="AC136" s="3" t="s">
        <v>192</v>
      </c>
      <c r="AD136" s="3" t="s">
        <v>192</v>
      </c>
      <c r="AE136" s="3" t="s">
        <v>192</v>
      </c>
      <c r="AF136" s="3" t="s">
        <v>192</v>
      </c>
      <c r="AG136" s="3" t="s">
        <v>192</v>
      </c>
      <c r="AH136" s="3" t="s">
        <v>192</v>
      </c>
      <c r="AI136" s="3" t="s">
        <v>192</v>
      </c>
      <c r="AJ136" s="3" t="s">
        <v>192</v>
      </c>
      <c r="AK136" s="3" t="s">
        <v>192</v>
      </c>
      <c r="AL136" s="3" t="s">
        <v>192</v>
      </c>
      <c r="AM136" s="3" t="s">
        <v>192</v>
      </c>
      <c r="AN136" s="3" t="s">
        <v>192</v>
      </c>
      <c r="AO136" s="3" t="s">
        <v>192</v>
      </c>
      <c r="AP136" s="3" t="s">
        <v>192</v>
      </c>
      <c r="AQ136" s="3" t="s">
        <v>192</v>
      </c>
      <c r="AR136" s="3" t="s">
        <v>192</v>
      </c>
      <c r="AS136" s="3" t="s">
        <v>192</v>
      </c>
      <c r="AT136" s="3" t="s">
        <v>192</v>
      </c>
      <c r="AU136" s="3" t="s">
        <v>192</v>
      </c>
      <c r="AV136" s="3" t="s">
        <v>192</v>
      </c>
      <c r="AW136" s="3" t="s">
        <v>192</v>
      </c>
      <c r="AX136" s="3" t="s">
        <v>192</v>
      </c>
      <c r="AY136" s="3" t="s">
        <v>192</v>
      </c>
      <c r="AZ136" s="3" t="s">
        <v>192</v>
      </c>
      <c r="BA136" s="3" t="s">
        <v>192</v>
      </c>
      <c r="BB136" s="3" t="s">
        <v>192</v>
      </c>
      <c r="BC136" s="3" t="s">
        <v>192</v>
      </c>
      <c r="BD136" s="3" t="s">
        <v>192</v>
      </c>
      <c r="BE136" s="3" t="s">
        <v>192</v>
      </c>
      <c r="BF136" s="3" t="s">
        <v>192</v>
      </c>
      <c r="BG136" s="3" t="s">
        <v>192</v>
      </c>
      <c r="BH136" s="3" t="s">
        <v>192</v>
      </c>
      <c r="BI136" s="3" t="s">
        <v>192</v>
      </c>
      <c r="BJ136" s="3" t="s">
        <v>192</v>
      </c>
      <c r="BK136" s="3" t="s">
        <v>192</v>
      </c>
      <c r="BL136" s="3" t="s">
        <v>192</v>
      </c>
      <c r="BM136" s="3" t="s">
        <v>192</v>
      </c>
      <c r="BN136" s="3" t="s">
        <v>192</v>
      </c>
      <c r="BO136" s="3" t="s">
        <v>192</v>
      </c>
      <c r="BP136" s="3" t="s">
        <v>192</v>
      </c>
      <c r="BQ136" s="3" t="s">
        <v>192</v>
      </c>
      <c r="BR136" s="3" t="s">
        <v>192</v>
      </c>
      <c r="BS136" s="3" t="s">
        <v>192</v>
      </c>
      <c r="BT136" s="3" t="s">
        <v>192</v>
      </c>
      <c r="BU136" s="3" t="s">
        <v>192</v>
      </c>
      <c r="BV136" s="3" t="s">
        <v>192</v>
      </c>
      <c r="BW136" s="3" t="s">
        <v>192</v>
      </c>
      <c r="BX136" s="3" t="s">
        <v>192</v>
      </c>
      <c r="BY136" s="3" t="s">
        <v>192</v>
      </c>
      <c r="BZ136" s="3" t="s">
        <v>192</v>
      </c>
      <c r="CA136" s="3" t="s">
        <v>192</v>
      </c>
      <c r="CB136" s="3" t="s">
        <v>192</v>
      </c>
      <c r="CC136" s="3" t="s">
        <v>192</v>
      </c>
      <c r="CD136" s="3" t="s">
        <v>192</v>
      </c>
      <c r="CE136" s="3" t="s">
        <v>192</v>
      </c>
      <c r="CF136" s="3" t="s">
        <v>192</v>
      </c>
      <c r="CG136" s="3">
        <v>2</v>
      </c>
      <c r="CH136" s="3" t="s">
        <v>192</v>
      </c>
      <c r="CI136" s="3" t="s">
        <v>192</v>
      </c>
      <c r="CJ136" s="3" t="s">
        <v>192</v>
      </c>
      <c r="CK136" s="3" t="s">
        <v>192</v>
      </c>
      <c r="CL136" s="3" t="s">
        <v>192</v>
      </c>
      <c r="CM136" s="3" t="s">
        <v>192</v>
      </c>
      <c r="CN136" s="3" t="s">
        <v>192</v>
      </c>
      <c r="CO136" s="3" t="s">
        <v>192</v>
      </c>
      <c r="CP136" s="3" t="s">
        <v>192</v>
      </c>
      <c r="CQ136" s="3" t="s">
        <v>192</v>
      </c>
      <c r="CR136" s="3" t="s">
        <v>192</v>
      </c>
      <c r="CS136" s="3" t="s">
        <v>192</v>
      </c>
      <c r="CT136" s="1">
        <f>SUM(Table7[[#This Row],[Acyl_amino_acids]:[T3PKS]])</f>
        <v>3</v>
      </c>
      <c r="CU136" s="3" t="s">
        <v>192</v>
      </c>
      <c r="CW136" s="1" t="str">
        <f>Table7[[#This Row],[NRPS]]</f>
        <v>-</v>
      </c>
      <c r="CX136" s="1">
        <f>SUM(CP136,CR136,CS136,Table7[[#This Row],[T1PKS, T3PKS]])</f>
        <v>0</v>
      </c>
      <c r="CY136" s="1">
        <f t="shared" si="2"/>
        <v>0</v>
      </c>
      <c r="CZ136" s="1">
        <f>Table7[[#This Row],[Terpene]]</f>
        <v>2</v>
      </c>
      <c r="DA136" s="1">
        <f>SUM(Table7[[#This Row],[Thiopeptide]],BH136,BF136,BE136,BC136,AZ136,AX136,AW136,AJ136,AH136,N136,L136,J136,H136,I136,K136,R136,Q136,Table7[[#This Row],[Cyanobactin, LAP]])</f>
        <v>1</v>
      </c>
      <c r="DB136" s="1">
        <f>SUM(CO136,CN136,CL136,CK136,CJ136,CI136,CH136,CF136,CE136,CD136,CB136,CA136,BZ136,BY136,BX136,BW136,BV136,BT136,BR136,BQ136,BP136,BO136,BM136,BK136,BJ136,BI136,BG136,BD136,BB136,BA136,AY136,AV136,AU136,AT136,AS136,AR136,AQ136,AP136,AO136,AN136,AM136,AL136,AK136,AG136,AF136,AE136,AD136,AC136,AB136,AA136,Z136,Y136,X136,W136,V136,U136,T136,S136,P136,O136,M136,Table7[[#This Row],[Acyl_amino_acids]],E136,F136,G136,)</f>
        <v>0</v>
      </c>
    </row>
    <row r="137" spans="1:106" x14ac:dyDescent="0.25">
      <c r="A137" s="9" t="s">
        <v>805</v>
      </c>
      <c r="B137" s="1" t="s">
        <v>435</v>
      </c>
      <c r="C137" s="1" t="s">
        <v>610</v>
      </c>
      <c r="D137" s="3" t="s">
        <v>192</v>
      </c>
      <c r="E137" s="3" t="s">
        <v>192</v>
      </c>
      <c r="F137" s="3" t="s">
        <v>192</v>
      </c>
      <c r="G137" s="3" t="s">
        <v>192</v>
      </c>
      <c r="H137" s="3">
        <v>1</v>
      </c>
      <c r="I137" s="3" t="s">
        <v>192</v>
      </c>
      <c r="J137" s="3" t="s">
        <v>192</v>
      </c>
      <c r="K137" s="3" t="s">
        <v>192</v>
      </c>
      <c r="L137" s="3" t="s">
        <v>192</v>
      </c>
      <c r="M137" s="3" t="s">
        <v>192</v>
      </c>
      <c r="N137" s="3" t="s">
        <v>192</v>
      </c>
      <c r="O137" s="3" t="s">
        <v>192</v>
      </c>
      <c r="P137" s="3" t="s">
        <v>192</v>
      </c>
      <c r="Q137" s="3" t="s">
        <v>192</v>
      </c>
      <c r="R137" s="3" t="s">
        <v>192</v>
      </c>
      <c r="S137" s="3" t="s">
        <v>192</v>
      </c>
      <c r="T137" s="3" t="s">
        <v>192</v>
      </c>
      <c r="U137" s="3" t="s">
        <v>192</v>
      </c>
      <c r="V137" s="3" t="s">
        <v>192</v>
      </c>
      <c r="W137" s="3" t="s">
        <v>192</v>
      </c>
      <c r="X137" s="3" t="s">
        <v>192</v>
      </c>
      <c r="Y137" s="3" t="s">
        <v>192</v>
      </c>
      <c r="Z137" s="3" t="s">
        <v>192</v>
      </c>
      <c r="AA137" s="3" t="s">
        <v>192</v>
      </c>
      <c r="AB137" s="3" t="s">
        <v>192</v>
      </c>
      <c r="AC137" s="3" t="s">
        <v>192</v>
      </c>
      <c r="AD137" s="3" t="s">
        <v>192</v>
      </c>
      <c r="AE137" s="3" t="s">
        <v>192</v>
      </c>
      <c r="AF137" s="3" t="s">
        <v>192</v>
      </c>
      <c r="AG137" s="3" t="s">
        <v>192</v>
      </c>
      <c r="AH137" s="3" t="s">
        <v>192</v>
      </c>
      <c r="AI137" s="3" t="s">
        <v>192</v>
      </c>
      <c r="AJ137" s="3" t="s">
        <v>192</v>
      </c>
      <c r="AK137" s="3" t="s">
        <v>192</v>
      </c>
      <c r="AL137" s="3" t="s">
        <v>192</v>
      </c>
      <c r="AM137" s="3" t="s">
        <v>192</v>
      </c>
      <c r="AN137" s="3" t="s">
        <v>192</v>
      </c>
      <c r="AO137" s="3" t="s">
        <v>192</v>
      </c>
      <c r="AP137" s="3" t="s">
        <v>192</v>
      </c>
      <c r="AQ137" s="3" t="s">
        <v>192</v>
      </c>
      <c r="AR137" s="3" t="s">
        <v>192</v>
      </c>
      <c r="AS137" s="3" t="s">
        <v>192</v>
      </c>
      <c r="AT137" s="3" t="s">
        <v>192</v>
      </c>
      <c r="AU137" s="3" t="s">
        <v>192</v>
      </c>
      <c r="AV137" s="3" t="s">
        <v>192</v>
      </c>
      <c r="AW137" s="3" t="s">
        <v>192</v>
      </c>
      <c r="AX137" s="3" t="s">
        <v>192</v>
      </c>
      <c r="AY137" s="3" t="s">
        <v>192</v>
      </c>
      <c r="AZ137" s="3" t="s">
        <v>192</v>
      </c>
      <c r="BA137" s="3" t="s">
        <v>192</v>
      </c>
      <c r="BB137" s="3" t="s">
        <v>192</v>
      </c>
      <c r="BC137" s="3" t="s">
        <v>192</v>
      </c>
      <c r="BD137" s="3" t="s">
        <v>192</v>
      </c>
      <c r="BE137" s="3" t="s">
        <v>192</v>
      </c>
      <c r="BF137" s="3" t="s">
        <v>192</v>
      </c>
      <c r="BG137" s="3" t="s">
        <v>192</v>
      </c>
      <c r="BH137" s="3" t="s">
        <v>192</v>
      </c>
      <c r="BI137" s="3" t="s">
        <v>192</v>
      </c>
      <c r="BJ137" s="3" t="s">
        <v>192</v>
      </c>
      <c r="BK137" s="3" t="s">
        <v>192</v>
      </c>
      <c r="BL137" s="3" t="s">
        <v>192</v>
      </c>
      <c r="BM137" s="3" t="s">
        <v>192</v>
      </c>
      <c r="BN137" s="3" t="s">
        <v>192</v>
      </c>
      <c r="BO137" s="3" t="s">
        <v>192</v>
      </c>
      <c r="BP137" s="3" t="s">
        <v>192</v>
      </c>
      <c r="BQ137" s="3" t="s">
        <v>192</v>
      </c>
      <c r="BR137" s="3" t="s">
        <v>192</v>
      </c>
      <c r="BS137" s="3" t="s">
        <v>192</v>
      </c>
      <c r="BT137" s="3" t="s">
        <v>192</v>
      </c>
      <c r="BU137" s="3" t="s">
        <v>192</v>
      </c>
      <c r="BV137" s="3" t="s">
        <v>192</v>
      </c>
      <c r="BW137" s="3" t="s">
        <v>192</v>
      </c>
      <c r="BX137" s="3" t="s">
        <v>192</v>
      </c>
      <c r="BY137" s="3" t="s">
        <v>192</v>
      </c>
      <c r="BZ137" s="3" t="s">
        <v>192</v>
      </c>
      <c r="CA137" s="3" t="s">
        <v>192</v>
      </c>
      <c r="CB137" s="3" t="s">
        <v>192</v>
      </c>
      <c r="CC137" s="3" t="s">
        <v>192</v>
      </c>
      <c r="CD137" s="3" t="s">
        <v>192</v>
      </c>
      <c r="CE137" s="3" t="s">
        <v>192</v>
      </c>
      <c r="CF137" s="3" t="s">
        <v>192</v>
      </c>
      <c r="CG137" s="3">
        <v>2</v>
      </c>
      <c r="CH137" s="3" t="s">
        <v>192</v>
      </c>
      <c r="CI137" s="3" t="s">
        <v>192</v>
      </c>
      <c r="CJ137" s="3" t="s">
        <v>192</v>
      </c>
      <c r="CK137" s="3" t="s">
        <v>192</v>
      </c>
      <c r="CL137" s="3" t="s">
        <v>192</v>
      </c>
      <c r="CM137" s="3" t="s">
        <v>192</v>
      </c>
      <c r="CN137" s="3" t="s">
        <v>192</v>
      </c>
      <c r="CO137" s="3" t="s">
        <v>192</v>
      </c>
      <c r="CP137" s="3" t="s">
        <v>192</v>
      </c>
      <c r="CQ137" s="3" t="s">
        <v>192</v>
      </c>
      <c r="CR137" s="3" t="s">
        <v>192</v>
      </c>
      <c r="CS137" s="3" t="s">
        <v>192</v>
      </c>
      <c r="CT137" s="1">
        <f>SUM(Table7[[#This Row],[Acyl_amino_acids]:[T3PKS]])</f>
        <v>3</v>
      </c>
      <c r="CU137" s="3" t="s">
        <v>192</v>
      </c>
      <c r="CW137" s="1" t="str">
        <f>Table7[[#This Row],[NRPS]]</f>
        <v>-</v>
      </c>
      <c r="CX137" s="1">
        <f>SUM(CP137,CR137,CS137,Table7[[#This Row],[T1PKS, T3PKS]])</f>
        <v>0</v>
      </c>
      <c r="CY137" s="1">
        <f t="shared" si="2"/>
        <v>0</v>
      </c>
      <c r="CZ137" s="1">
        <f>Table7[[#This Row],[Terpene]]</f>
        <v>2</v>
      </c>
      <c r="DA137" s="1">
        <f>SUM(Table7[[#This Row],[Thiopeptide]],BH137,BF137,BE137,BC137,AZ137,AX137,AW137,AJ137,AH137,N137,L137,J137,H137,I137,K137,R137,Q137,Table7[[#This Row],[Cyanobactin, LAP]])</f>
        <v>1</v>
      </c>
      <c r="DB137" s="1">
        <f>SUM(CO137,CN137,CL137,CK137,CJ137,CI137,CH137,CF137,CE137,CD137,CB137,CA137,BZ137,BY137,BX137,BW137,BV137,BT137,BR137,BQ137,BP137,BO137,BM137,BK137,BJ137,BI137,BG137,BD137,BB137,BA137,AY137,AV137,AU137,AT137,AS137,AR137,AQ137,AP137,AO137,AN137,AM137,AL137,AK137,AG137,AF137,AE137,AD137,AC137,AB137,AA137,Z137,Y137,X137,W137,V137,U137,T137,S137,P137,O137,M137,Table7[[#This Row],[Acyl_amino_acids]],E137,F137,G137,)</f>
        <v>0</v>
      </c>
    </row>
    <row r="138" spans="1:106" x14ac:dyDescent="0.25">
      <c r="A138" s="9" t="s">
        <v>675</v>
      </c>
      <c r="B138" s="1" t="s">
        <v>435</v>
      </c>
      <c r="C138" s="1" t="s">
        <v>246</v>
      </c>
      <c r="D138" s="1" t="s">
        <v>192</v>
      </c>
      <c r="E138" s="1" t="s">
        <v>192</v>
      </c>
      <c r="F138" s="1" t="s">
        <v>192</v>
      </c>
      <c r="G138" s="1" t="s">
        <v>192</v>
      </c>
      <c r="H138" s="1">
        <v>1</v>
      </c>
      <c r="I138" s="1" t="s">
        <v>192</v>
      </c>
      <c r="J138" s="1" t="s">
        <v>192</v>
      </c>
      <c r="K138" s="1" t="s">
        <v>192</v>
      </c>
      <c r="L138" s="1" t="s">
        <v>192</v>
      </c>
      <c r="M138" s="1" t="s">
        <v>192</v>
      </c>
      <c r="N138" s="1" t="s">
        <v>192</v>
      </c>
      <c r="O138" s="1" t="s">
        <v>192</v>
      </c>
      <c r="P138" s="1" t="s">
        <v>192</v>
      </c>
      <c r="Q138" s="1" t="s">
        <v>192</v>
      </c>
      <c r="R138" s="1" t="s">
        <v>192</v>
      </c>
      <c r="S138" s="1" t="s">
        <v>192</v>
      </c>
      <c r="T138" s="1" t="s">
        <v>192</v>
      </c>
      <c r="U138" s="1" t="s">
        <v>192</v>
      </c>
      <c r="V138" s="1" t="s">
        <v>192</v>
      </c>
      <c r="W138" s="1" t="s">
        <v>192</v>
      </c>
      <c r="X138" s="1" t="s">
        <v>192</v>
      </c>
      <c r="Y138" s="1" t="s">
        <v>192</v>
      </c>
      <c r="Z138" s="1" t="s">
        <v>192</v>
      </c>
      <c r="AA138" s="1" t="s">
        <v>192</v>
      </c>
      <c r="AB138" s="1" t="s">
        <v>192</v>
      </c>
      <c r="AC138" s="1" t="s">
        <v>192</v>
      </c>
      <c r="AD138" s="1" t="s">
        <v>192</v>
      </c>
      <c r="AE138" s="1" t="s">
        <v>192</v>
      </c>
      <c r="AF138" s="1" t="s">
        <v>192</v>
      </c>
      <c r="AG138" s="1" t="s">
        <v>192</v>
      </c>
      <c r="AH138" s="1" t="s">
        <v>192</v>
      </c>
      <c r="AI138" s="1" t="s">
        <v>192</v>
      </c>
      <c r="AJ138" s="1" t="s">
        <v>192</v>
      </c>
      <c r="AK138" s="1" t="s">
        <v>192</v>
      </c>
      <c r="AL138" s="1" t="s">
        <v>192</v>
      </c>
      <c r="AM138" s="1" t="s">
        <v>192</v>
      </c>
      <c r="AN138" s="1" t="s">
        <v>192</v>
      </c>
      <c r="AO138" s="1" t="s">
        <v>192</v>
      </c>
      <c r="AP138" s="1" t="s">
        <v>192</v>
      </c>
      <c r="AQ138" s="1" t="s">
        <v>192</v>
      </c>
      <c r="AR138" s="1" t="s">
        <v>192</v>
      </c>
      <c r="AS138" s="1" t="s">
        <v>192</v>
      </c>
      <c r="AT138" s="1" t="s">
        <v>192</v>
      </c>
      <c r="AU138" s="1" t="s">
        <v>192</v>
      </c>
      <c r="AV138" s="1" t="s">
        <v>192</v>
      </c>
      <c r="AW138" s="1" t="s">
        <v>192</v>
      </c>
      <c r="AX138" s="1" t="s">
        <v>192</v>
      </c>
      <c r="AY138" s="1" t="s">
        <v>192</v>
      </c>
      <c r="AZ138" s="1" t="s">
        <v>192</v>
      </c>
      <c r="BA138" s="1" t="s">
        <v>192</v>
      </c>
      <c r="BB138" s="1" t="s">
        <v>192</v>
      </c>
      <c r="BC138" s="1" t="s">
        <v>192</v>
      </c>
      <c r="BD138" s="1" t="s">
        <v>192</v>
      </c>
      <c r="BE138" s="1" t="s">
        <v>192</v>
      </c>
      <c r="BF138" s="1" t="s">
        <v>192</v>
      </c>
      <c r="BG138" s="1" t="s">
        <v>192</v>
      </c>
      <c r="BH138" s="1" t="s">
        <v>192</v>
      </c>
      <c r="BI138" s="1" t="s">
        <v>192</v>
      </c>
      <c r="BJ138" s="1" t="s">
        <v>192</v>
      </c>
      <c r="BK138" s="1" t="s">
        <v>192</v>
      </c>
      <c r="BL138" s="1" t="s">
        <v>192</v>
      </c>
      <c r="BM138" s="1" t="s">
        <v>192</v>
      </c>
      <c r="BN138" s="1" t="s">
        <v>192</v>
      </c>
      <c r="BO138" s="1" t="s">
        <v>192</v>
      </c>
      <c r="BP138" s="1" t="s">
        <v>192</v>
      </c>
      <c r="BQ138" s="1" t="s">
        <v>192</v>
      </c>
      <c r="BR138" s="1" t="s">
        <v>192</v>
      </c>
      <c r="BS138" s="1" t="s">
        <v>192</v>
      </c>
      <c r="BT138" s="1" t="s">
        <v>192</v>
      </c>
      <c r="BU138" s="1" t="s">
        <v>192</v>
      </c>
      <c r="BV138" s="1" t="s">
        <v>192</v>
      </c>
      <c r="BW138" s="1" t="s">
        <v>192</v>
      </c>
      <c r="BX138" s="1" t="s">
        <v>192</v>
      </c>
      <c r="BY138" s="1" t="s">
        <v>192</v>
      </c>
      <c r="BZ138" s="1" t="s">
        <v>192</v>
      </c>
      <c r="CA138" s="1" t="s">
        <v>192</v>
      </c>
      <c r="CB138" s="1" t="s">
        <v>192</v>
      </c>
      <c r="CC138" s="1" t="s">
        <v>192</v>
      </c>
      <c r="CD138" s="1" t="s">
        <v>192</v>
      </c>
      <c r="CE138" s="1" t="s">
        <v>192</v>
      </c>
      <c r="CF138" s="1" t="s">
        <v>192</v>
      </c>
      <c r="CG138" s="1">
        <v>2</v>
      </c>
      <c r="CH138" s="1" t="s">
        <v>192</v>
      </c>
      <c r="CI138" s="1" t="s">
        <v>192</v>
      </c>
      <c r="CJ138" s="1" t="s">
        <v>192</v>
      </c>
      <c r="CK138" s="1" t="s">
        <v>192</v>
      </c>
      <c r="CL138" s="1" t="s">
        <v>192</v>
      </c>
      <c r="CM138" s="1" t="s">
        <v>192</v>
      </c>
      <c r="CN138" s="1" t="s">
        <v>192</v>
      </c>
      <c r="CO138" s="1" t="s">
        <v>192</v>
      </c>
      <c r="CP138" s="1" t="s">
        <v>192</v>
      </c>
      <c r="CQ138" s="1" t="s">
        <v>192</v>
      </c>
      <c r="CR138" s="1" t="s">
        <v>192</v>
      </c>
      <c r="CS138" s="1" t="s">
        <v>192</v>
      </c>
      <c r="CT138" s="1">
        <f>SUM(Table7[[#This Row],[Acyl_amino_acids]:[T3PKS]])</f>
        <v>3</v>
      </c>
      <c r="CU138" s="1" t="s">
        <v>192</v>
      </c>
      <c r="CW138" s="1" t="str">
        <f>Table7[[#This Row],[NRPS]]</f>
        <v>-</v>
      </c>
      <c r="CX138" s="1">
        <f>SUM(CP138,CR138,CS138,Table7[[#This Row],[T1PKS, T3PKS]])</f>
        <v>0</v>
      </c>
      <c r="CY138" s="1">
        <f t="shared" si="2"/>
        <v>0</v>
      </c>
      <c r="CZ138" s="1">
        <f>Table7[[#This Row],[Terpene]]</f>
        <v>2</v>
      </c>
      <c r="DA138" s="1">
        <f>SUM(Table7[[#This Row],[Thiopeptide]],BH138,BF138,BE138,BC138,AZ138,AX138,AW138,AJ138,AH138,N138,L138,J138,H138,I138,K138,R138,Q138,Table7[[#This Row],[Cyanobactin, LAP]])</f>
        <v>1</v>
      </c>
      <c r="DB138" s="1">
        <f>SUM(CO138,CN138,CL138,CK138,CJ138,CI138,CH138,CF138,CE138,CD138,CB138,CA138,BZ138,BY138,BX138,BW138,BV138,BT138,BR138,BQ138,BP138,BO138,BM138,BK138,BJ138,BI138,BG138,BD138,BB138,BA138,AY138,AV138,AU138,AT138,AS138,AR138,AQ138,AP138,AO138,AN138,AM138,AL138,AK138,AG138,AF138,AE138,AD138,AC138,AB138,AA138,Z138,Y138,X138,W138,V138,U138,T138,S138,P138,O138,M138,Table7[[#This Row],[Acyl_amino_acids]],E138,F138,G138,)</f>
        <v>0</v>
      </c>
    </row>
    <row r="139" spans="1:106" x14ac:dyDescent="0.25">
      <c r="A139" s="9" t="s">
        <v>681</v>
      </c>
      <c r="B139" s="1" t="s">
        <v>435</v>
      </c>
      <c r="C139" s="1" t="s">
        <v>374</v>
      </c>
      <c r="D139" s="1" t="s">
        <v>192</v>
      </c>
      <c r="E139" s="1" t="s">
        <v>192</v>
      </c>
      <c r="F139" s="1" t="s">
        <v>192</v>
      </c>
      <c r="G139" s="1" t="s">
        <v>192</v>
      </c>
      <c r="H139" s="1">
        <v>1</v>
      </c>
      <c r="I139" s="1" t="s">
        <v>192</v>
      </c>
      <c r="J139" s="1" t="s">
        <v>192</v>
      </c>
      <c r="K139" s="1" t="s">
        <v>192</v>
      </c>
      <c r="L139" s="1" t="s">
        <v>192</v>
      </c>
      <c r="M139" s="1" t="s">
        <v>192</v>
      </c>
      <c r="N139" s="1" t="s">
        <v>192</v>
      </c>
      <c r="O139" s="1" t="s">
        <v>192</v>
      </c>
      <c r="P139" s="1" t="s">
        <v>192</v>
      </c>
      <c r="Q139" s="1" t="s">
        <v>192</v>
      </c>
      <c r="R139" s="1" t="s">
        <v>192</v>
      </c>
      <c r="S139" s="1" t="s">
        <v>192</v>
      </c>
      <c r="T139" s="1" t="s">
        <v>192</v>
      </c>
      <c r="U139" s="1" t="s">
        <v>192</v>
      </c>
      <c r="V139" s="1" t="s">
        <v>192</v>
      </c>
      <c r="W139" s="1" t="s">
        <v>192</v>
      </c>
      <c r="X139" s="1" t="s">
        <v>192</v>
      </c>
      <c r="Y139" s="1" t="s">
        <v>192</v>
      </c>
      <c r="Z139" s="1" t="s">
        <v>192</v>
      </c>
      <c r="AA139" s="1" t="s">
        <v>192</v>
      </c>
      <c r="AB139" s="1" t="s">
        <v>192</v>
      </c>
      <c r="AC139" s="1" t="s">
        <v>192</v>
      </c>
      <c r="AD139" s="1" t="s">
        <v>192</v>
      </c>
      <c r="AE139" s="1" t="s">
        <v>192</v>
      </c>
      <c r="AF139" s="1" t="s">
        <v>192</v>
      </c>
      <c r="AG139" s="1" t="s">
        <v>192</v>
      </c>
      <c r="AH139" s="1" t="s">
        <v>192</v>
      </c>
      <c r="AI139" s="1" t="s">
        <v>192</v>
      </c>
      <c r="AJ139" s="1" t="s">
        <v>192</v>
      </c>
      <c r="AK139" s="1" t="s">
        <v>192</v>
      </c>
      <c r="AL139" s="1" t="s">
        <v>192</v>
      </c>
      <c r="AM139" s="1" t="s">
        <v>192</v>
      </c>
      <c r="AN139" s="1" t="s">
        <v>192</v>
      </c>
      <c r="AO139" s="1" t="s">
        <v>192</v>
      </c>
      <c r="AP139" s="1" t="s">
        <v>192</v>
      </c>
      <c r="AQ139" s="1" t="s">
        <v>192</v>
      </c>
      <c r="AR139" s="1" t="s">
        <v>192</v>
      </c>
      <c r="AS139" s="1" t="s">
        <v>192</v>
      </c>
      <c r="AT139" s="1" t="s">
        <v>192</v>
      </c>
      <c r="AU139" s="1" t="s">
        <v>192</v>
      </c>
      <c r="AV139" s="1" t="s">
        <v>192</v>
      </c>
      <c r="AW139" s="1" t="s">
        <v>192</v>
      </c>
      <c r="AX139" s="1" t="s">
        <v>192</v>
      </c>
      <c r="AY139" s="1" t="s">
        <v>192</v>
      </c>
      <c r="AZ139" s="1" t="s">
        <v>192</v>
      </c>
      <c r="BA139" s="1" t="s">
        <v>192</v>
      </c>
      <c r="BB139" s="1" t="s">
        <v>192</v>
      </c>
      <c r="BC139" s="1" t="s">
        <v>192</v>
      </c>
      <c r="BD139" s="1" t="s">
        <v>192</v>
      </c>
      <c r="BE139" s="1" t="s">
        <v>192</v>
      </c>
      <c r="BF139" s="1" t="s">
        <v>192</v>
      </c>
      <c r="BG139" s="1" t="s">
        <v>192</v>
      </c>
      <c r="BH139" s="1" t="s">
        <v>192</v>
      </c>
      <c r="BI139" s="1" t="s">
        <v>192</v>
      </c>
      <c r="BJ139" s="1" t="s">
        <v>192</v>
      </c>
      <c r="BK139" s="1" t="s">
        <v>192</v>
      </c>
      <c r="BL139" s="1" t="s">
        <v>192</v>
      </c>
      <c r="BM139" s="1" t="s">
        <v>192</v>
      </c>
      <c r="BN139" s="1" t="s">
        <v>192</v>
      </c>
      <c r="BO139" s="1" t="s">
        <v>192</v>
      </c>
      <c r="BP139" s="1" t="s">
        <v>192</v>
      </c>
      <c r="BQ139" s="1" t="s">
        <v>192</v>
      </c>
      <c r="BR139" s="1" t="s">
        <v>192</v>
      </c>
      <c r="BS139" s="1" t="s">
        <v>192</v>
      </c>
      <c r="BT139" s="1" t="s">
        <v>192</v>
      </c>
      <c r="BU139" s="1" t="s">
        <v>192</v>
      </c>
      <c r="BV139" s="1" t="s">
        <v>192</v>
      </c>
      <c r="BW139" s="1" t="s">
        <v>192</v>
      </c>
      <c r="BX139" s="1" t="s">
        <v>192</v>
      </c>
      <c r="BY139" s="1" t="s">
        <v>192</v>
      </c>
      <c r="BZ139" s="1" t="s">
        <v>192</v>
      </c>
      <c r="CA139" s="1" t="s">
        <v>192</v>
      </c>
      <c r="CB139" s="1" t="s">
        <v>192</v>
      </c>
      <c r="CC139" s="1" t="s">
        <v>192</v>
      </c>
      <c r="CD139" s="1" t="s">
        <v>192</v>
      </c>
      <c r="CE139" s="1" t="s">
        <v>192</v>
      </c>
      <c r="CF139" s="1" t="s">
        <v>192</v>
      </c>
      <c r="CG139" s="1">
        <v>2</v>
      </c>
      <c r="CH139" s="1" t="s">
        <v>192</v>
      </c>
      <c r="CI139" s="1" t="s">
        <v>192</v>
      </c>
      <c r="CJ139" s="1" t="s">
        <v>192</v>
      </c>
      <c r="CK139" s="1" t="s">
        <v>192</v>
      </c>
      <c r="CL139" s="1" t="s">
        <v>192</v>
      </c>
      <c r="CM139" s="1" t="s">
        <v>192</v>
      </c>
      <c r="CN139" s="1" t="s">
        <v>192</v>
      </c>
      <c r="CO139" s="1" t="s">
        <v>192</v>
      </c>
      <c r="CP139" s="1" t="s">
        <v>192</v>
      </c>
      <c r="CQ139" s="1" t="s">
        <v>192</v>
      </c>
      <c r="CR139" s="1" t="s">
        <v>192</v>
      </c>
      <c r="CS139" s="1" t="s">
        <v>192</v>
      </c>
      <c r="CT139" s="1">
        <f>SUM(Table7[[#This Row],[Acyl_amino_acids]:[T3PKS]])</f>
        <v>3</v>
      </c>
      <c r="CU139" s="1" t="s">
        <v>192</v>
      </c>
      <c r="CW139" s="1" t="str">
        <f>Table7[[#This Row],[NRPS]]</f>
        <v>-</v>
      </c>
      <c r="CX139" s="1">
        <f>SUM(CP139,CR139,CS139,Table7[[#This Row],[T1PKS, T3PKS]])</f>
        <v>0</v>
      </c>
      <c r="CY139" s="1">
        <f t="shared" si="2"/>
        <v>0</v>
      </c>
      <c r="CZ139" s="1">
        <f>Table7[[#This Row],[Terpene]]</f>
        <v>2</v>
      </c>
      <c r="DA139" s="1">
        <f>SUM(Table7[[#This Row],[Thiopeptide]],BH139,BF139,BE139,BC139,AZ139,AX139,AW139,AJ139,AH139,N139,L139,J139,H139,I139,K139,R139,Q139,Table7[[#This Row],[Cyanobactin, LAP]])</f>
        <v>1</v>
      </c>
      <c r="DB139" s="1">
        <f>SUM(CO139,CN139,CL139,CK139,CJ139,CI139,CH139,CF139,CE139,CD139,CB139,CA139,BZ139,BY139,BX139,BW139,BV139,BT139,BR139,BQ139,BP139,BO139,BM139,BK139,BJ139,BI139,BG139,BD139,BB139,BA139,AY139,AV139,AU139,AT139,AS139,AR139,AQ139,AP139,AO139,AN139,AM139,AL139,AK139,AG139,AF139,AE139,AD139,AC139,AB139,AA139,Z139,Y139,X139,W139,V139,U139,T139,S139,P139,O139,M139,Table7[[#This Row],[Acyl_amino_acids]],E139,F139,G139,)</f>
        <v>0</v>
      </c>
    </row>
    <row r="140" spans="1:106" x14ac:dyDescent="0.25">
      <c r="A140" s="9" t="s">
        <v>796</v>
      </c>
      <c r="B140" s="1" t="s">
        <v>435</v>
      </c>
      <c r="C140" s="1" t="s">
        <v>375</v>
      </c>
      <c r="D140" s="3" t="s">
        <v>192</v>
      </c>
      <c r="E140" s="3" t="s">
        <v>192</v>
      </c>
      <c r="F140" s="3" t="s">
        <v>192</v>
      </c>
      <c r="G140" s="3" t="s">
        <v>192</v>
      </c>
      <c r="H140" s="3">
        <v>1</v>
      </c>
      <c r="I140" s="3" t="s">
        <v>192</v>
      </c>
      <c r="J140" s="3" t="s">
        <v>192</v>
      </c>
      <c r="K140" s="3" t="s">
        <v>192</v>
      </c>
      <c r="L140" s="3" t="s">
        <v>192</v>
      </c>
      <c r="M140" s="3" t="s">
        <v>192</v>
      </c>
      <c r="N140" s="3" t="s">
        <v>192</v>
      </c>
      <c r="O140" s="3" t="s">
        <v>192</v>
      </c>
      <c r="P140" s="3" t="s">
        <v>192</v>
      </c>
      <c r="Q140" s="3" t="s">
        <v>192</v>
      </c>
      <c r="R140" s="3" t="s">
        <v>192</v>
      </c>
      <c r="S140" s="3" t="s">
        <v>192</v>
      </c>
      <c r="T140" s="3" t="s">
        <v>192</v>
      </c>
      <c r="U140" s="3" t="s">
        <v>192</v>
      </c>
      <c r="V140" s="3" t="s">
        <v>192</v>
      </c>
      <c r="W140" s="3" t="s">
        <v>192</v>
      </c>
      <c r="X140" s="3" t="s">
        <v>192</v>
      </c>
      <c r="Y140" s="3" t="s">
        <v>192</v>
      </c>
      <c r="Z140" s="3" t="s">
        <v>192</v>
      </c>
      <c r="AA140" s="3" t="s">
        <v>192</v>
      </c>
      <c r="AB140" s="3" t="s">
        <v>192</v>
      </c>
      <c r="AC140" s="3" t="s">
        <v>192</v>
      </c>
      <c r="AD140" s="3" t="s">
        <v>192</v>
      </c>
      <c r="AE140" s="3" t="s">
        <v>192</v>
      </c>
      <c r="AF140" s="3" t="s">
        <v>192</v>
      </c>
      <c r="AG140" s="3" t="s">
        <v>192</v>
      </c>
      <c r="AH140" s="3" t="s">
        <v>192</v>
      </c>
      <c r="AI140" s="3" t="s">
        <v>192</v>
      </c>
      <c r="AJ140" s="3" t="s">
        <v>192</v>
      </c>
      <c r="AK140" s="3" t="s">
        <v>192</v>
      </c>
      <c r="AL140" s="3" t="s">
        <v>192</v>
      </c>
      <c r="AM140" s="3" t="s">
        <v>192</v>
      </c>
      <c r="AN140" s="3" t="s">
        <v>192</v>
      </c>
      <c r="AO140" s="3" t="s">
        <v>192</v>
      </c>
      <c r="AP140" s="3" t="s">
        <v>192</v>
      </c>
      <c r="AQ140" s="3" t="s">
        <v>192</v>
      </c>
      <c r="AR140" s="3" t="s">
        <v>192</v>
      </c>
      <c r="AS140" s="3" t="s">
        <v>192</v>
      </c>
      <c r="AT140" s="3" t="s">
        <v>192</v>
      </c>
      <c r="AU140" s="3" t="s">
        <v>192</v>
      </c>
      <c r="AV140" s="3" t="s">
        <v>192</v>
      </c>
      <c r="AW140" s="3" t="s">
        <v>192</v>
      </c>
      <c r="AX140" s="3" t="s">
        <v>192</v>
      </c>
      <c r="AY140" s="3" t="s">
        <v>192</v>
      </c>
      <c r="AZ140" s="3" t="s">
        <v>192</v>
      </c>
      <c r="BA140" s="3" t="s">
        <v>192</v>
      </c>
      <c r="BB140" s="3" t="s">
        <v>192</v>
      </c>
      <c r="BC140" s="3" t="s">
        <v>192</v>
      </c>
      <c r="BD140" s="3" t="s">
        <v>192</v>
      </c>
      <c r="BE140" s="3" t="s">
        <v>192</v>
      </c>
      <c r="BF140" s="3" t="s">
        <v>192</v>
      </c>
      <c r="BG140" s="3" t="s">
        <v>192</v>
      </c>
      <c r="BH140" s="3" t="s">
        <v>192</v>
      </c>
      <c r="BI140" s="3" t="s">
        <v>192</v>
      </c>
      <c r="BJ140" s="3" t="s">
        <v>192</v>
      </c>
      <c r="BK140" s="3" t="s">
        <v>192</v>
      </c>
      <c r="BL140" s="3" t="s">
        <v>192</v>
      </c>
      <c r="BM140" s="3" t="s">
        <v>192</v>
      </c>
      <c r="BN140" s="3" t="s">
        <v>192</v>
      </c>
      <c r="BO140" s="3" t="s">
        <v>192</v>
      </c>
      <c r="BP140" s="3" t="s">
        <v>192</v>
      </c>
      <c r="BQ140" s="3" t="s">
        <v>192</v>
      </c>
      <c r="BR140" s="3" t="s">
        <v>192</v>
      </c>
      <c r="BS140" s="3" t="s">
        <v>192</v>
      </c>
      <c r="BT140" s="3" t="s">
        <v>192</v>
      </c>
      <c r="BU140" s="3" t="s">
        <v>192</v>
      </c>
      <c r="BV140" s="3" t="s">
        <v>192</v>
      </c>
      <c r="BW140" s="3" t="s">
        <v>192</v>
      </c>
      <c r="BX140" s="3" t="s">
        <v>192</v>
      </c>
      <c r="BY140" s="3" t="s">
        <v>192</v>
      </c>
      <c r="BZ140" s="3" t="s">
        <v>192</v>
      </c>
      <c r="CA140" s="3" t="s">
        <v>192</v>
      </c>
      <c r="CB140" s="3" t="s">
        <v>192</v>
      </c>
      <c r="CC140" s="3" t="s">
        <v>192</v>
      </c>
      <c r="CD140" s="3" t="s">
        <v>192</v>
      </c>
      <c r="CE140" s="3" t="s">
        <v>192</v>
      </c>
      <c r="CF140" s="3" t="s">
        <v>192</v>
      </c>
      <c r="CG140" s="3">
        <v>2</v>
      </c>
      <c r="CH140" s="3" t="s">
        <v>192</v>
      </c>
      <c r="CI140" s="3" t="s">
        <v>192</v>
      </c>
      <c r="CJ140" s="3" t="s">
        <v>192</v>
      </c>
      <c r="CK140" s="3" t="s">
        <v>192</v>
      </c>
      <c r="CL140" s="3" t="s">
        <v>192</v>
      </c>
      <c r="CM140" s="3" t="s">
        <v>192</v>
      </c>
      <c r="CN140" s="3" t="s">
        <v>192</v>
      </c>
      <c r="CO140" s="3" t="s">
        <v>192</v>
      </c>
      <c r="CP140" s="3" t="s">
        <v>192</v>
      </c>
      <c r="CQ140" s="3" t="s">
        <v>192</v>
      </c>
      <c r="CR140" s="3" t="s">
        <v>192</v>
      </c>
      <c r="CS140" s="3" t="s">
        <v>192</v>
      </c>
      <c r="CT140" s="1">
        <f>SUM(Table7[[#This Row],[Acyl_amino_acids]:[T3PKS]])</f>
        <v>3</v>
      </c>
      <c r="CU140" s="3" t="s">
        <v>192</v>
      </c>
      <c r="CW140" s="1" t="str">
        <f>Table7[[#This Row],[NRPS]]</f>
        <v>-</v>
      </c>
      <c r="CX140" s="1">
        <f>SUM(CP140,CR140,CS140,Table7[[#This Row],[T1PKS, T3PKS]])</f>
        <v>0</v>
      </c>
      <c r="CY140" s="1">
        <f t="shared" si="2"/>
        <v>0</v>
      </c>
      <c r="CZ140" s="1">
        <f>Table7[[#This Row],[Terpene]]</f>
        <v>2</v>
      </c>
      <c r="DA140" s="1">
        <f>SUM(Table7[[#This Row],[Thiopeptide]],BH140,BF140,BE140,BC140,AZ140,AX140,AW140,AJ140,AH140,N140,L140,J140,H140,I140,K140,R140,Q140,Table7[[#This Row],[Cyanobactin, LAP]])</f>
        <v>1</v>
      </c>
      <c r="DB140" s="1">
        <f>SUM(CO140,CN140,CL140,CK140,CJ140,CI140,CH140,CF140,CE140,CD140,CB140,CA140,BZ140,BY140,BX140,BW140,BV140,BT140,BR140,BQ140,BP140,BO140,BM140,BK140,BJ140,BI140,BG140,BD140,BB140,BA140,AY140,AV140,AU140,AT140,AS140,AR140,AQ140,AP140,AO140,AN140,AM140,AL140,AK140,AG140,AF140,AE140,AD140,AC140,AB140,AA140,Z140,Y140,X140,W140,V140,U140,T140,S140,P140,O140,M140,Table7[[#This Row],[Acyl_amino_acids]],E140,F140,G140,)</f>
        <v>0</v>
      </c>
    </row>
    <row r="141" spans="1:106" x14ac:dyDescent="0.25">
      <c r="A141" s="9" t="s">
        <v>784</v>
      </c>
      <c r="B141" s="1" t="s">
        <v>435</v>
      </c>
      <c r="C141" s="1" t="s">
        <v>376</v>
      </c>
      <c r="D141" s="3" t="s">
        <v>192</v>
      </c>
      <c r="E141" s="3" t="s">
        <v>192</v>
      </c>
      <c r="F141" s="3" t="s">
        <v>192</v>
      </c>
      <c r="G141" s="3" t="s">
        <v>192</v>
      </c>
      <c r="H141" s="3" t="s">
        <v>192</v>
      </c>
      <c r="I141" s="3" t="s">
        <v>192</v>
      </c>
      <c r="J141" s="3" t="s">
        <v>192</v>
      </c>
      <c r="K141" s="3" t="s">
        <v>192</v>
      </c>
      <c r="L141" s="3" t="s">
        <v>192</v>
      </c>
      <c r="M141" s="3" t="s">
        <v>192</v>
      </c>
      <c r="N141" s="3" t="s">
        <v>192</v>
      </c>
      <c r="O141" s="3" t="s">
        <v>192</v>
      </c>
      <c r="P141" s="3" t="s">
        <v>192</v>
      </c>
      <c r="Q141" s="3" t="s">
        <v>192</v>
      </c>
      <c r="R141" s="3" t="s">
        <v>192</v>
      </c>
      <c r="S141" s="3" t="s">
        <v>192</v>
      </c>
      <c r="T141" s="3" t="s">
        <v>192</v>
      </c>
      <c r="U141" s="3" t="s">
        <v>192</v>
      </c>
      <c r="V141" s="3" t="s">
        <v>192</v>
      </c>
      <c r="W141" s="3" t="s">
        <v>192</v>
      </c>
      <c r="X141" s="3" t="s">
        <v>192</v>
      </c>
      <c r="Y141" s="3" t="s">
        <v>192</v>
      </c>
      <c r="Z141" s="3" t="s">
        <v>192</v>
      </c>
      <c r="AA141" s="3" t="s">
        <v>192</v>
      </c>
      <c r="AB141" s="3" t="s">
        <v>192</v>
      </c>
      <c r="AC141" s="3" t="s">
        <v>192</v>
      </c>
      <c r="AD141" s="3" t="s">
        <v>192</v>
      </c>
      <c r="AE141" s="3" t="s">
        <v>192</v>
      </c>
      <c r="AF141" s="3" t="s">
        <v>192</v>
      </c>
      <c r="AG141" s="3" t="s">
        <v>192</v>
      </c>
      <c r="AH141" s="3" t="s">
        <v>192</v>
      </c>
      <c r="AI141" s="3" t="s">
        <v>192</v>
      </c>
      <c r="AJ141" s="3" t="s">
        <v>192</v>
      </c>
      <c r="AK141" s="3" t="s">
        <v>192</v>
      </c>
      <c r="AL141" s="3" t="s">
        <v>192</v>
      </c>
      <c r="AM141" s="3" t="s">
        <v>192</v>
      </c>
      <c r="AN141" s="3" t="s">
        <v>192</v>
      </c>
      <c r="AO141" s="3" t="s">
        <v>192</v>
      </c>
      <c r="AP141" s="3" t="s">
        <v>192</v>
      </c>
      <c r="AQ141" s="3" t="s">
        <v>192</v>
      </c>
      <c r="AR141" s="3" t="s">
        <v>192</v>
      </c>
      <c r="AS141" s="3" t="s">
        <v>192</v>
      </c>
      <c r="AT141" s="3" t="s">
        <v>192</v>
      </c>
      <c r="AU141" s="3" t="s">
        <v>192</v>
      </c>
      <c r="AV141" s="3" t="s">
        <v>192</v>
      </c>
      <c r="AW141" s="3" t="s">
        <v>192</v>
      </c>
      <c r="AX141" s="3" t="s">
        <v>192</v>
      </c>
      <c r="AY141" s="3" t="s">
        <v>192</v>
      </c>
      <c r="AZ141" s="3" t="s">
        <v>192</v>
      </c>
      <c r="BA141" s="3" t="s">
        <v>192</v>
      </c>
      <c r="BB141" s="3" t="s">
        <v>192</v>
      </c>
      <c r="BC141" s="3" t="s">
        <v>192</v>
      </c>
      <c r="BD141" s="3" t="s">
        <v>192</v>
      </c>
      <c r="BE141" s="3" t="s">
        <v>192</v>
      </c>
      <c r="BF141" s="3" t="s">
        <v>192</v>
      </c>
      <c r="BG141" s="3" t="s">
        <v>192</v>
      </c>
      <c r="BH141" s="3" t="s">
        <v>192</v>
      </c>
      <c r="BI141" s="3" t="s">
        <v>192</v>
      </c>
      <c r="BJ141" s="3" t="s">
        <v>192</v>
      </c>
      <c r="BK141" s="3" t="s">
        <v>192</v>
      </c>
      <c r="BL141" s="3" t="s">
        <v>192</v>
      </c>
      <c r="BM141" s="3" t="s">
        <v>192</v>
      </c>
      <c r="BN141" s="3" t="s">
        <v>192</v>
      </c>
      <c r="BO141" s="3" t="s">
        <v>192</v>
      </c>
      <c r="BP141" s="3" t="s">
        <v>192</v>
      </c>
      <c r="BQ141" s="3" t="s">
        <v>192</v>
      </c>
      <c r="BR141" s="3" t="s">
        <v>192</v>
      </c>
      <c r="BS141" s="3" t="s">
        <v>192</v>
      </c>
      <c r="BT141" s="3" t="s">
        <v>192</v>
      </c>
      <c r="BU141" s="3" t="s">
        <v>192</v>
      </c>
      <c r="BV141" s="3" t="s">
        <v>192</v>
      </c>
      <c r="BW141" s="3" t="s">
        <v>192</v>
      </c>
      <c r="BX141" s="3" t="s">
        <v>192</v>
      </c>
      <c r="BY141" s="3" t="s">
        <v>192</v>
      </c>
      <c r="BZ141" s="3" t="s">
        <v>192</v>
      </c>
      <c r="CA141" s="3" t="s">
        <v>192</v>
      </c>
      <c r="CB141" s="3" t="s">
        <v>192</v>
      </c>
      <c r="CC141" s="3" t="s">
        <v>192</v>
      </c>
      <c r="CD141" s="3" t="s">
        <v>192</v>
      </c>
      <c r="CE141" s="3" t="s">
        <v>192</v>
      </c>
      <c r="CF141" s="3" t="s">
        <v>192</v>
      </c>
      <c r="CG141" s="3">
        <v>3</v>
      </c>
      <c r="CH141" s="3" t="s">
        <v>192</v>
      </c>
      <c r="CI141" s="3" t="s">
        <v>192</v>
      </c>
      <c r="CJ141" s="3" t="s">
        <v>192</v>
      </c>
      <c r="CK141" s="3" t="s">
        <v>192</v>
      </c>
      <c r="CL141" s="3" t="s">
        <v>192</v>
      </c>
      <c r="CM141" s="3" t="s">
        <v>192</v>
      </c>
      <c r="CN141" s="3" t="s">
        <v>192</v>
      </c>
      <c r="CO141" s="3" t="s">
        <v>192</v>
      </c>
      <c r="CP141" s="3" t="s">
        <v>192</v>
      </c>
      <c r="CQ141" s="3" t="s">
        <v>192</v>
      </c>
      <c r="CR141" s="3" t="s">
        <v>192</v>
      </c>
      <c r="CS141" s="3" t="s">
        <v>192</v>
      </c>
      <c r="CT141" s="1">
        <f>SUM(Table7[[#This Row],[Acyl_amino_acids]:[T3PKS]])</f>
        <v>3</v>
      </c>
      <c r="CU141" s="3" t="s">
        <v>192</v>
      </c>
      <c r="CW141" s="1" t="str">
        <f>Table7[[#This Row],[NRPS]]</f>
        <v>-</v>
      </c>
      <c r="CX141" s="1">
        <f>SUM(CP141,CR141,CS141,Table7[[#This Row],[T1PKS, T3PKS]])</f>
        <v>0</v>
      </c>
      <c r="CY141" s="1">
        <f t="shared" si="2"/>
        <v>0</v>
      </c>
      <c r="CZ141" s="1">
        <f>Table7[[#This Row],[Terpene]]</f>
        <v>3</v>
      </c>
      <c r="DA141" s="1">
        <f>SUM(Table7[[#This Row],[Thiopeptide]],BH141,BF141,BE141,BC141,AZ141,AX141,AW141,AJ141,AH141,N141,L141,J141,H141,I141,K141,R141,Q141,Table7[[#This Row],[Cyanobactin, LAP]])</f>
        <v>0</v>
      </c>
      <c r="DB141" s="1">
        <f>SUM(CO141,CN141,CL141,CK141,CJ141,CI141,CH141,CF141,CE141,CD141,CB141,CA141,BZ141,BY141,BX141,BW141,BV141,BT141,BR141,BQ141,BP141,BO141,BM141,BK141,BJ141,BI141,BG141,BD141,BB141,BA141,AY141,AV141,AU141,AT141,AS141,AR141,AQ141,AP141,AO141,AN141,AM141,AL141,AK141,AG141,AF141,AE141,AD141,AC141,AB141,AA141,Z141,Y141,X141,W141,V141,U141,T141,S141,P141,O141,M141,Table7[[#This Row],[Acyl_amino_acids]],E141,F141,G141,)</f>
        <v>0</v>
      </c>
    </row>
    <row r="142" spans="1:106" x14ac:dyDescent="0.25">
      <c r="A142" s="9" t="s">
        <v>798</v>
      </c>
      <c r="B142" s="1" t="s">
        <v>435</v>
      </c>
      <c r="C142" s="1" t="s">
        <v>596</v>
      </c>
      <c r="D142" s="3" t="s">
        <v>192</v>
      </c>
      <c r="E142" s="3" t="s">
        <v>192</v>
      </c>
      <c r="F142" s="3" t="s">
        <v>192</v>
      </c>
      <c r="G142" s="3" t="s">
        <v>192</v>
      </c>
      <c r="H142" s="3">
        <v>12</v>
      </c>
      <c r="I142" s="3" t="s">
        <v>192</v>
      </c>
      <c r="J142" s="3" t="s">
        <v>192</v>
      </c>
      <c r="K142" s="3" t="s">
        <v>192</v>
      </c>
      <c r="L142" s="3" t="s">
        <v>192</v>
      </c>
      <c r="M142" s="3" t="s">
        <v>192</v>
      </c>
      <c r="N142" s="3" t="s">
        <v>192</v>
      </c>
      <c r="O142" s="3" t="s">
        <v>192</v>
      </c>
      <c r="P142" s="3" t="s">
        <v>192</v>
      </c>
      <c r="Q142" s="3" t="s">
        <v>192</v>
      </c>
      <c r="R142" s="3" t="s">
        <v>192</v>
      </c>
      <c r="S142" s="3" t="s">
        <v>192</v>
      </c>
      <c r="T142" s="3" t="s">
        <v>192</v>
      </c>
      <c r="U142" s="3" t="s">
        <v>192</v>
      </c>
      <c r="V142" s="3" t="s">
        <v>192</v>
      </c>
      <c r="W142" s="3" t="s">
        <v>192</v>
      </c>
      <c r="X142" s="3" t="s">
        <v>192</v>
      </c>
      <c r="Y142" s="3" t="s">
        <v>192</v>
      </c>
      <c r="Z142" s="3" t="s">
        <v>192</v>
      </c>
      <c r="AA142" s="3" t="s">
        <v>192</v>
      </c>
      <c r="AB142" s="3" t="s">
        <v>192</v>
      </c>
      <c r="AC142" s="3" t="s">
        <v>192</v>
      </c>
      <c r="AD142" s="3" t="s">
        <v>192</v>
      </c>
      <c r="AE142" s="3" t="s">
        <v>192</v>
      </c>
      <c r="AF142" s="3" t="s">
        <v>192</v>
      </c>
      <c r="AG142" s="3" t="s">
        <v>192</v>
      </c>
      <c r="AH142" s="3" t="s">
        <v>192</v>
      </c>
      <c r="AI142" s="3" t="s">
        <v>192</v>
      </c>
      <c r="AJ142" s="3" t="s">
        <v>192</v>
      </c>
      <c r="AK142" s="3" t="s">
        <v>192</v>
      </c>
      <c r="AL142" s="3" t="s">
        <v>192</v>
      </c>
      <c r="AM142" s="3" t="s">
        <v>192</v>
      </c>
      <c r="AN142" s="3" t="s">
        <v>192</v>
      </c>
      <c r="AO142" s="3" t="s">
        <v>192</v>
      </c>
      <c r="AP142" s="3" t="s">
        <v>192</v>
      </c>
      <c r="AQ142" s="3" t="s">
        <v>192</v>
      </c>
      <c r="AR142" s="3" t="s">
        <v>192</v>
      </c>
      <c r="AS142" s="3" t="s">
        <v>192</v>
      </c>
      <c r="AT142" s="3" t="s">
        <v>192</v>
      </c>
      <c r="AU142" s="3" t="s">
        <v>192</v>
      </c>
      <c r="AV142" s="3" t="s">
        <v>192</v>
      </c>
      <c r="AW142" s="3" t="s">
        <v>192</v>
      </c>
      <c r="AX142" s="3" t="s">
        <v>192</v>
      </c>
      <c r="AY142" s="3" t="s">
        <v>192</v>
      </c>
      <c r="AZ142" s="3" t="s">
        <v>192</v>
      </c>
      <c r="BA142" s="3" t="s">
        <v>192</v>
      </c>
      <c r="BB142" s="3" t="s">
        <v>192</v>
      </c>
      <c r="BC142" s="3" t="s">
        <v>192</v>
      </c>
      <c r="BD142" s="3" t="s">
        <v>192</v>
      </c>
      <c r="BE142" s="3" t="s">
        <v>192</v>
      </c>
      <c r="BF142" s="3" t="s">
        <v>192</v>
      </c>
      <c r="BG142" s="3" t="s">
        <v>192</v>
      </c>
      <c r="BH142" s="3" t="s">
        <v>192</v>
      </c>
      <c r="BI142" s="3" t="s">
        <v>192</v>
      </c>
      <c r="BJ142" s="3" t="s">
        <v>192</v>
      </c>
      <c r="BK142" s="3" t="s">
        <v>192</v>
      </c>
      <c r="BL142" s="3" t="s">
        <v>192</v>
      </c>
      <c r="BM142" s="3" t="s">
        <v>192</v>
      </c>
      <c r="BN142" s="3" t="s">
        <v>192</v>
      </c>
      <c r="BO142" s="3" t="s">
        <v>192</v>
      </c>
      <c r="BP142" s="3" t="s">
        <v>192</v>
      </c>
      <c r="BQ142" s="3" t="s">
        <v>192</v>
      </c>
      <c r="BR142" s="3" t="s">
        <v>192</v>
      </c>
      <c r="BS142" s="3" t="s">
        <v>192</v>
      </c>
      <c r="BT142" s="3" t="s">
        <v>192</v>
      </c>
      <c r="BU142" s="3" t="s">
        <v>192</v>
      </c>
      <c r="BV142" s="3" t="s">
        <v>192</v>
      </c>
      <c r="BW142" s="3" t="s">
        <v>192</v>
      </c>
      <c r="BX142" s="3" t="s">
        <v>192</v>
      </c>
      <c r="BY142" s="3" t="s">
        <v>192</v>
      </c>
      <c r="BZ142" s="3" t="s">
        <v>192</v>
      </c>
      <c r="CA142" s="3" t="s">
        <v>192</v>
      </c>
      <c r="CB142" s="3" t="s">
        <v>192</v>
      </c>
      <c r="CC142" s="3" t="s">
        <v>192</v>
      </c>
      <c r="CD142" s="3" t="s">
        <v>192</v>
      </c>
      <c r="CE142" s="3" t="s">
        <v>192</v>
      </c>
      <c r="CF142" s="3" t="s">
        <v>192</v>
      </c>
      <c r="CG142" s="3">
        <v>2</v>
      </c>
      <c r="CH142" s="3" t="s">
        <v>192</v>
      </c>
      <c r="CI142" s="3" t="s">
        <v>192</v>
      </c>
      <c r="CJ142" s="3" t="s">
        <v>192</v>
      </c>
      <c r="CK142" s="3" t="s">
        <v>192</v>
      </c>
      <c r="CL142" s="3" t="s">
        <v>192</v>
      </c>
      <c r="CM142" s="3" t="s">
        <v>192</v>
      </c>
      <c r="CN142" s="3" t="s">
        <v>192</v>
      </c>
      <c r="CO142" s="3" t="s">
        <v>192</v>
      </c>
      <c r="CP142" s="3" t="s">
        <v>192</v>
      </c>
      <c r="CQ142" s="3" t="s">
        <v>192</v>
      </c>
      <c r="CR142" s="3" t="s">
        <v>192</v>
      </c>
      <c r="CS142" s="3" t="s">
        <v>192</v>
      </c>
      <c r="CT142" s="1">
        <f>SUM(Table7[[#This Row],[Acyl_amino_acids]:[T3PKS]])</f>
        <v>14</v>
      </c>
      <c r="CU142" s="3" t="s">
        <v>192</v>
      </c>
      <c r="CW142" s="1" t="str">
        <f>Table7[[#This Row],[NRPS]]</f>
        <v>-</v>
      </c>
      <c r="CX142" s="1">
        <f>SUM(CP142,CR142,CS142,Table7[[#This Row],[T1PKS, T3PKS]])</f>
        <v>0</v>
      </c>
      <c r="CY142" s="1">
        <f t="shared" si="2"/>
        <v>0</v>
      </c>
      <c r="CZ142" s="1">
        <f>Table7[[#This Row],[Terpene]]</f>
        <v>2</v>
      </c>
      <c r="DA142" s="1">
        <f>SUM(Table7[[#This Row],[Thiopeptide]],BH142,BF142,BE142,BC142,AZ142,AX142,AW142,AJ142,AH142,N142,L142,J142,H142,I142,K142,R142,Q142,Table7[[#This Row],[Cyanobactin, LAP]])</f>
        <v>12</v>
      </c>
      <c r="DB142" s="1">
        <f>SUM(CO142,CN142,CL142,CK142,CJ142,CI142,CH142,CF142,CE142,CD142,CB142,CA142,BZ142,BY142,BX142,BW142,BV142,BT142,BR142,BQ142,BP142,BO142,BM142,BK142,BJ142,BI142,BG142,BD142,BB142,BA142,AY142,AV142,AU142,AT142,AS142,AR142,AQ142,AP142,AO142,AN142,AM142,AL142,AK142,AG142,AF142,AE142,AD142,AC142,AB142,AA142,Z142,Y142,X142,W142,V142,U142,T142,S142,P142,O142,M142,Table7[[#This Row],[Acyl_amino_acids]],E142,F142,G142,)</f>
        <v>0</v>
      </c>
    </row>
    <row r="143" spans="1:106" x14ac:dyDescent="0.25">
      <c r="A143" s="9" t="s">
        <v>685</v>
      </c>
      <c r="B143" s="1" t="s">
        <v>435</v>
      </c>
      <c r="C143" s="1" t="s">
        <v>377</v>
      </c>
      <c r="D143" s="1" t="s">
        <v>192</v>
      </c>
      <c r="E143" s="1" t="s">
        <v>192</v>
      </c>
      <c r="F143" s="1" t="s">
        <v>192</v>
      </c>
      <c r="G143" s="1" t="s">
        <v>192</v>
      </c>
      <c r="H143" s="1">
        <v>8</v>
      </c>
      <c r="I143" s="1" t="s">
        <v>192</v>
      </c>
      <c r="J143" s="1" t="s">
        <v>192</v>
      </c>
      <c r="K143" s="1" t="s">
        <v>192</v>
      </c>
      <c r="L143" s="1" t="s">
        <v>192</v>
      </c>
      <c r="M143" s="1" t="s">
        <v>192</v>
      </c>
      <c r="N143" s="1" t="s">
        <v>192</v>
      </c>
      <c r="O143" s="1" t="s">
        <v>192</v>
      </c>
      <c r="P143" s="1" t="s">
        <v>192</v>
      </c>
      <c r="Q143" s="1" t="s">
        <v>192</v>
      </c>
      <c r="R143" s="1" t="s">
        <v>192</v>
      </c>
      <c r="S143" s="1" t="s">
        <v>192</v>
      </c>
      <c r="T143" s="1" t="s">
        <v>192</v>
      </c>
      <c r="U143" s="1" t="s">
        <v>192</v>
      </c>
      <c r="V143" s="1">
        <v>1</v>
      </c>
      <c r="W143" s="1" t="s">
        <v>192</v>
      </c>
      <c r="X143" s="1" t="s">
        <v>192</v>
      </c>
      <c r="Y143" s="1" t="s">
        <v>192</v>
      </c>
      <c r="Z143" s="1" t="s">
        <v>192</v>
      </c>
      <c r="AA143" s="1" t="s">
        <v>192</v>
      </c>
      <c r="AB143" s="1" t="s">
        <v>192</v>
      </c>
      <c r="AC143" s="1" t="s">
        <v>192</v>
      </c>
      <c r="AD143" s="1" t="s">
        <v>192</v>
      </c>
      <c r="AE143" s="1" t="s">
        <v>192</v>
      </c>
      <c r="AF143" s="1" t="s">
        <v>192</v>
      </c>
      <c r="AG143" s="1" t="s">
        <v>192</v>
      </c>
      <c r="AH143" s="1" t="s">
        <v>192</v>
      </c>
      <c r="AI143" s="1" t="s">
        <v>192</v>
      </c>
      <c r="AJ143" s="1" t="s">
        <v>192</v>
      </c>
      <c r="AK143" s="1" t="s">
        <v>192</v>
      </c>
      <c r="AL143" s="1" t="s">
        <v>192</v>
      </c>
      <c r="AM143" s="1" t="s">
        <v>192</v>
      </c>
      <c r="AN143" s="1" t="s">
        <v>192</v>
      </c>
      <c r="AO143" s="1" t="s">
        <v>192</v>
      </c>
      <c r="AP143" s="1" t="s">
        <v>192</v>
      </c>
      <c r="AQ143" s="1" t="s">
        <v>192</v>
      </c>
      <c r="AR143" s="1" t="s">
        <v>192</v>
      </c>
      <c r="AS143" s="1" t="s">
        <v>192</v>
      </c>
      <c r="AT143" s="1" t="s">
        <v>192</v>
      </c>
      <c r="AU143" s="1" t="s">
        <v>192</v>
      </c>
      <c r="AV143" s="1" t="s">
        <v>192</v>
      </c>
      <c r="AW143" s="1" t="s">
        <v>192</v>
      </c>
      <c r="AX143" s="1" t="s">
        <v>192</v>
      </c>
      <c r="AY143" s="1" t="s">
        <v>192</v>
      </c>
      <c r="AZ143" s="1" t="s">
        <v>192</v>
      </c>
      <c r="BA143" s="1" t="s">
        <v>192</v>
      </c>
      <c r="BB143" s="1" t="s">
        <v>192</v>
      </c>
      <c r="BC143" s="1" t="s">
        <v>192</v>
      </c>
      <c r="BD143" s="1" t="s">
        <v>192</v>
      </c>
      <c r="BE143" s="1" t="s">
        <v>192</v>
      </c>
      <c r="BF143" s="1" t="s">
        <v>192</v>
      </c>
      <c r="BG143" s="1" t="s">
        <v>192</v>
      </c>
      <c r="BH143" s="1" t="s">
        <v>192</v>
      </c>
      <c r="BI143" s="1" t="s">
        <v>192</v>
      </c>
      <c r="BJ143" s="1" t="s">
        <v>192</v>
      </c>
      <c r="BK143" s="1" t="s">
        <v>192</v>
      </c>
      <c r="BL143" s="1" t="s">
        <v>192</v>
      </c>
      <c r="BM143" s="1" t="s">
        <v>192</v>
      </c>
      <c r="BN143" s="1" t="s">
        <v>192</v>
      </c>
      <c r="BO143" s="1" t="s">
        <v>192</v>
      </c>
      <c r="BP143" s="1" t="s">
        <v>192</v>
      </c>
      <c r="BQ143" s="1" t="s">
        <v>192</v>
      </c>
      <c r="BR143" s="1" t="s">
        <v>192</v>
      </c>
      <c r="BS143" s="1" t="s">
        <v>192</v>
      </c>
      <c r="BT143" s="1" t="s">
        <v>192</v>
      </c>
      <c r="BU143" s="1" t="s">
        <v>192</v>
      </c>
      <c r="BV143" s="1" t="s">
        <v>192</v>
      </c>
      <c r="BW143" s="1" t="s">
        <v>192</v>
      </c>
      <c r="BX143" s="1" t="s">
        <v>192</v>
      </c>
      <c r="BY143" s="1" t="s">
        <v>192</v>
      </c>
      <c r="BZ143" s="1" t="s">
        <v>192</v>
      </c>
      <c r="CA143" s="1" t="s">
        <v>192</v>
      </c>
      <c r="CB143" s="1" t="s">
        <v>192</v>
      </c>
      <c r="CC143" s="1" t="s">
        <v>192</v>
      </c>
      <c r="CD143" s="1" t="s">
        <v>192</v>
      </c>
      <c r="CE143" s="1" t="s">
        <v>192</v>
      </c>
      <c r="CF143" s="1" t="s">
        <v>192</v>
      </c>
      <c r="CG143" s="1">
        <v>1</v>
      </c>
      <c r="CH143" s="1" t="s">
        <v>192</v>
      </c>
      <c r="CI143" s="1" t="s">
        <v>192</v>
      </c>
      <c r="CJ143" s="1" t="s">
        <v>192</v>
      </c>
      <c r="CK143" s="1" t="s">
        <v>192</v>
      </c>
      <c r="CL143" s="1" t="s">
        <v>192</v>
      </c>
      <c r="CM143" s="1" t="s">
        <v>192</v>
      </c>
      <c r="CN143" s="1" t="s">
        <v>192</v>
      </c>
      <c r="CO143" s="1" t="s">
        <v>192</v>
      </c>
      <c r="CP143" s="1" t="s">
        <v>192</v>
      </c>
      <c r="CQ143" s="1" t="s">
        <v>192</v>
      </c>
      <c r="CR143" s="1" t="s">
        <v>192</v>
      </c>
      <c r="CS143" s="1">
        <v>1</v>
      </c>
      <c r="CT143" s="1">
        <f>SUM(Table7[[#This Row],[Acyl_amino_acids]:[T3PKS]])</f>
        <v>11</v>
      </c>
      <c r="CU143" s="1" t="s">
        <v>192</v>
      </c>
      <c r="CW143" s="1" t="str">
        <f>Table7[[#This Row],[NRPS]]</f>
        <v>-</v>
      </c>
      <c r="CX143" s="1">
        <f>SUM(CP143,CR143,CS143,Table7[[#This Row],[T1PKS, T3PKS]])</f>
        <v>1</v>
      </c>
      <c r="CY143" s="1">
        <f t="shared" si="2"/>
        <v>0</v>
      </c>
      <c r="CZ143" s="1">
        <f>Table7[[#This Row],[Terpene]]</f>
        <v>1</v>
      </c>
      <c r="DA143" s="1">
        <f>SUM(Table7[[#This Row],[Thiopeptide]],BH143,BF143,BE143,BC143,AZ143,AX143,AW143,AJ143,AH143,N143,L143,J143,H143,I143,K143,R143,Q143,Table7[[#This Row],[Cyanobactin, LAP]])</f>
        <v>8</v>
      </c>
      <c r="DB143" s="1">
        <f>SUM(CO143,CN143,CL143,CK143,CJ143,CI143,CH143,CF143,CE143,CD143,CB143,CA143,BZ143,BY143,BX143,BW143,BV143,BT143,BR143,BQ143,BP143,BO143,BM143,BK143,BJ143,BI143,BG143,BD143,BB143,BA143,AY143,AV143,AU143,AT143,AS143,AR143,AQ143,AP143,AO143,AN143,AM143,AL143,AK143,AG143,AF143,AE143,AD143,AC143,AB143,AA143,Z143,Y143,X143,W143,V143,U143,T143,S143,P143,O143,M143,Table7[[#This Row],[Acyl_amino_acids]],E143,F143,G143,)</f>
        <v>1</v>
      </c>
    </row>
    <row r="144" spans="1:106" x14ac:dyDescent="0.25">
      <c r="A144" s="9" t="s">
        <v>679</v>
      </c>
      <c r="B144" s="1" t="s">
        <v>435</v>
      </c>
      <c r="C144" s="1" t="s">
        <v>378</v>
      </c>
      <c r="D144" s="1" t="s">
        <v>192</v>
      </c>
      <c r="E144" s="1" t="s">
        <v>192</v>
      </c>
      <c r="F144" s="1" t="s">
        <v>192</v>
      </c>
      <c r="G144" s="1" t="s">
        <v>192</v>
      </c>
      <c r="H144" s="1">
        <v>5</v>
      </c>
      <c r="I144" s="1" t="s">
        <v>192</v>
      </c>
      <c r="J144" s="1" t="s">
        <v>192</v>
      </c>
      <c r="K144" s="1" t="s">
        <v>192</v>
      </c>
      <c r="L144" s="1" t="s">
        <v>192</v>
      </c>
      <c r="M144" s="1" t="s">
        <v>192</v>
      </c>
      <c r="N144" s="1" t="s">
        <v>192</v>
      </c>
      <c r="O144" s="1" t="s">
        <v>192</v>
      </c>
      <c r="P144" s="1" t="s">
        <v>192</v>
      </c>
      <c r="Q144" s="1" t="s">
        <v>192</v>
      </c>
      <c r="R144" s="1" t="s">
        <v>192</v>
      </c>
      <c r="S144" s="1" t="s">
        <v>192</v>
      </c>
      <c r="T144" s="1" t="s">
        <v>192</v>
      </c>
      <c r="U144" s="1" t="s">
        <v>192</v>
      </c>
      <c r="V144" s="1">
        <v>1</v>
      </c>
      <c r="W144" s="1" t="s">
        <v>192</v>
      </c>
      <c r="X144" s="1" t="s">
        <v>192</v>
      </c>
      <c r="Y144" s="1" t="s">
        <v>192</v>
      </c>
      <c r="Z144" s="1" t="s">
        <v>192</v>
      </c>
      <c r="AA144" s="1" t="s">
        <v>192</v>
      </c>
      <c r="AB144" s="1" t="s">
        <v>192</v>
      </c>
      <c r="AC144" s="1" t="s">
        <v>192</v>
      </c>
      <c r="AD144" s="1" t="s">
        <v>192</v>
      </c>
      <c r="AE144" s="1" t="s">
        <v>192</v>
      </c>
      <c r="AF144" s="1" t="s">
        <v>192</v>
      </c>
      <c r="AG144" s="1" t="s">
        <v>192</v>
      </c>
      <c r="AH144" s="1" t="s">
        <v>192</v>
      </c>
      <c r="AI144" s="1" t="s">
        <v>192</v>
      </c>
      <c r="AJ144" s="1" t="s">
        <v>192</v>
      </c>
      <c r="AK144" s="1" t="s">
        <v>192</v>
      </c>
      <c r="AL144" s="1" t="s">
        <v>192</v>
      </c>
      <c r="AM144" s="1" t="s">
        <v>192</v>
      </c>
      <c r="AN144" s="1" t="s">
        <v>192</v>
      </c>
      <c r="AO144" s="1" t="s">
        <v>192</v>
      </c>
      <c r="AP144" s="1" t="s">
        <v>192</v>
      </c>
      <c r="AQ144" s="1" t="s">
        <v>192</v>
      </c>
      <c r="AR144" s="1" t="s">
        <v>192</v>
      </c>
      <c r="AS144" s="1" t="s">
        <v>192</v>
      </c>
      <c r="AT144" s="1" t="s">
        <v>192</v>
      </c>
      <c r="AU144" s="1" t="s">
        <v>192</v>
      </c>
      <c r="AV144" s="1" t="s">
        <v>192</v>
      </c>
      <c r="AW144" s="1" t="s">
        <v>192</v>
      </c>
      <c r="AX144" s="1" t="s">
        <v>192</v>
      </c>
      <c r="AY144" s="1" t="s">
        <v>192</v>
      </c>
      <c r="AZ144" s="1" t="s">
        <v>192</v>
      </c>
      <c r="BA144" s="1" t="s">
        <v>192</v>
      </c>
      <c r="BB144" s="1" t="s">
        <v>192</v>
      </c>
      <c r="BC144" s="1" t="s">
        <v>192</v>
      </c>
      <c r="BD144" s="1" t="s">
        <v>192</v>
      </c>
      <c r="BE144" s="1" t="s">
        <v>192</v>
      </c>
      <c r="BF144" s="1" t="s">
        <v>192</v>
      </c>
      <c r="BG144" s="1" t="s">
        <v>192</v>
      </c>
      <c r="BH144" s="1" t="s">
        <v>192</v>
      </c>
      <c r="BI144" s="1" t="s">
        <v>192</v>
      </c>
      <c r="BJ144" s="1" t="s">
        <v>192</v>
      </c>
      <c r="BK144" s="1" t="s">
        <v>192</v>
      </c>
      <c r="BL144" s="1" t="s">
        <v>192</v>
      </c>
      <c r="BM144" s="1" t="s">
        <v>192</v>
      </c>
      <c r="BN144" s="1" t="s">
        <v>192</v>
      </c>
      <c r="BO144" s="1" t="s">
        <v>192</v>
      </c>
      <c r="BP144" s="1" t="s">
        <v>192</v>
      </c>
      <c r="BQ144" s="1" t="s">
        <v>192</v>
      </c>
      <c r="BR144" s="1" t="s">
        <v>192</v>
      </c>
      <c r="BS144" s="1" t="s">
        <v>192</v>
      </c>
      <c r="BT144" s="1" t="s">
        <v>192</v>
      </c>
      <c r="BU144" s="1" t="s">
        <v>192</v>
      </c>
      <c r="BV144" s="1" t="s">
        <v>192</v>
      </c>
      <c r="BW144" s="1" t="s">
        <v>192</v>
      </c>
      <c r="BX144" s="1" t="s">
        <v>192</v>
      </c>
      <c r="BY144" s="1" t="s">
        <v>192</v>
      </c>
      <c r="BZ144" s="1" t="s">
        <v>192</v>
      </c>
      <c r="CA144" s="1" t="s">
        <v>192</v>
      </c>
      <c r="CB144" s="1" t="s">
        <v>192</v>
      </c>
      <c r="CC144" s="1" t="s">
        <v>192</v>
      </c>
      <c r="CD144" s="1" t="s">
        <v>192</v>
      </c>
      <c r="CE144" s="1" t="s">
        <v>192</v>
      </c>
      <c r="CF144" s="1" t="s">
        <v>192</v>
      </c>
      <c r="CG144" s="1">
        <v>1</v>
      </c>
      <c r="CH144" s="1" t="s">
        <v>192</v>
      </c>
      <c r="CI144" s="1" t="s">
        <v>192</v>
      </c>
      <c r="CJ144" s="1" t="s">
        <v>192</v>
      </c>
      <c r="CK144" s="1" t="s">
        <v>192</v>
      </c>
      <c r="CL144" s="1" t="s">
        <v>192</v>
      </c>
      <c r="CM144" s="1" t="s">
        <v>192</v>
      </c>
      <c r="CN144" s="1" t="s">
        <v>192</v>
      </c>
      <c r="CO144" s="1" t="s">
        <v>192</v>
      </c>
      <c r="CP144" s="1" t="s">
        <v>192</v>
      </c>
      <c r="CQ144" s="1" t="s">
        <v>192</v>
      </c>
      <c r="CR144" s="1" t="s">
        <v>192</v>
      </c>
      <c r="CS144" s="1" t="s">
        <v>192</v>
      </c>
      <c r="CT144" s="1">
        <f>SUM(Table7[[#This Row],[Acyl_amino_acids]:[T3PKS]])</f>
        <v>7</v>
      </c>
      <c r="CU144" s="1" t="s">
        <v>192</v>
      </c>
      <c r="CW144" s="1" t="str">
        <f>Table7[[#This Row],[NRPS]]</f>
        <v>-</v>
      </c>
      <c r="CX144" s="1">
        <f>SUM(CP144,CR144,CS144,Table7[[#This Row],[T1PKS, T3PKS]])</f>
        <v>0</v>
      </c>
      <c r="CY144" s="1">
        <f t="shared" si="2"/>
        <v>0</v>
      </c>
      <c r="CZ144" s="1">
        <f>Table7[[#This Row],[Terpene]]</f>
        <v>1</v>
      </c>
      <c r="DA144" s="1">
        <f>SUM(Table7[[#This Row],[Thiopeptide]],BH144,BF144,BE144,BC144,AZ144,AX144,AW144,AJ144,AH144,N144,L144,J144,H144,I144,K144,R144,Q144,Table7[[#This Row],[Cyanobactin, LAP]])</f>
        <v>5</v>
      </c>
      <c r="DB144" s="1">
        <f>SUM(CO144,CN144,CL144,CK144,CJ144,CI144,CH144,CF144,CE144,CD144,CB144,CA144,BZ144,BY144,BX144,BW144,BV144,BT144,BR144,BQ144,BP144,BO144,BM144,BK144,BJ144,BI144,BG144,BD144,BB144,BA144,AY144,AV144,AU144,AT144,AS144,AR144,AQ144,AP144,AO144,AN144,AM144,AL144,AK144,AG144,AF144,AE144,AD144,AC144,AB144,AA144,Z144,Y144,X144,W144,V144,U144,T144,S144,P144,O144,M144,Table7[[#This Row],[Acyl_amino_acids]],E144,F144,G144,)</f>
        <v>1</v>
      </c>
    </row>
    <row r="145" spans="1:106" x14ac:dyDescent="0.25">
      <c r="A145" s="9" t="s">
        <v>678</v>
      </c>
      <c r="B145" s="1" t="s">
        <v>435</v>
      </c>
      <c r="C145" s="1" t="s">
        <v>379</v>
      </c>
      <c r="D145" s="1" t="s">
        <v>192</v>
      </c>
      <c r="E145" s="1" t="s">
        <v>192</v>
      </c>
      <c r="F145" s="1" t="s">
        <v>192</v>
      </c>
      <c r="G145" s="1" t="s">
        <v>192</v>
      </c>
      <c r="H145" s="1">
        <v>8</v>
      </c>
      <c r="I145" s="1" t="s">
        <v>192</v>
      </c>
      <c r="J145" s="1" t="s">
        <v>192</v>
      </c>
      <c r="K145" s="1" t="s">
        <v>192</v>
      </c>
      <c r="L145" s="1" t="s">
        <v>192</v>
      </c>
      <c r="M145" s="1" t="s">
        <v>192</v>
      </c>
      <c r="N145" s="1" t="s">
        <v>192</v>
      </c>
      <c r="O145" s="1" t="s">
        <v>192</v>
      </c>
      <c r="P145" s="1" t="s">
        <v>192</v>
      </c>
      <c r="Q145" s="1" t="s">
        <v>192</v>
      </c>
      <c r="R145" s="1" t="s">
        <v>192</v>
      </c>
      <c r="S145" s="1" t="s">
        <v>192</v>
      </c>
      <c r="T145" s="1" t="s">
        <v>192</v>
      </c>
      <c r="U145" s="1" t="s">
        <v>192</v>
      </c>
      <c r="V145" s="1" t="s">
        <v>192</v>
      </c>
      <c r="W145" s="1" t="s">
        <v>192</v>
      </c>
      <c r="X145" s="1" t="s">
        <v>192</v>
      </c>
      <c r="Y145" s="1" t="s">
        <v>192</v>
      </c>
      <c r="Z145" s="1" t="s">
        <v>192</v>
      </c>
      <c r="AA145" s="1" t="s">
        <v>192</v>
      </c>
      <c r="AB145" s="1" t="s">
        <v>192</v>
      </c>
      <c r="AC145" s="1" t="s">
        <v>192</v>
      </c>
      <c r="AD145" s="1" t="s">
        <v>192</v>
      </c>
      <c r="AE145" s="1" t="s">
        <v>192</v>
      </c>
      <c r="AF145" s="1" t="s">
        <v>192</v>
      </c>
      <c r="AG145" s="1" t="s">
        <v>192</v>
      </c>
      <c r="AH145" s="1" t="s">
        <v>192</v>
      </c>
      <c r="AI145" s="1" t="s">
        <v>192</v>
      </c>
      <c r="AJ145" s="1" t="s">
        <v>192</v>
      </c>
      <c r="AK145" s="1" t="s">
        <v>192</v>
      </c>
      <c r="AL145" s="1" t="s">
        <v>192</v>
      </c>
      <c r="AM145" s="1" t="s">
        <v>192</v>
      </c>
      <c r="AN145" s="1" t="s">
        <v>192</v>
      </c>
      <c r="AO145" s="1" t="s">
        <v>192</v>
      </c>
      <c r="AP145" s="1" t="s">
        <v>192</v>
      </c>
      <c r="AQ145" s="1" t="s">
        <v>192</v>
      </c>
      <c r="AR145" s="1" t="s">
        <v>192</v>
      </c>
      <c r="AS145" s="1" t="s">
        <v>192</v>
      </c>
      <c r="AT145" s="1" t="s">
        <v>192</v>
      </c>
      <c r="AU145" s="1" t="s">
        <v>192</v>
      </c>
      <c r="AV145" s="1" t="s">
        <v>192</v>
      </c>
      <c r="AW145" s="1" t="s">
        <v>192</v>
      </c>
      <c r="AX145" s="1" t="s">
        <v>192</v>
      </c>
      <c r="AY145" s="1" t="s">
        <v>192</v>
      </c>
      <c r="AZ145" s="1" t="s">
        <v>192</v>
      </c>
      <c r="BA145" s="1" t="s">
        <v>192</v>
      </c>
      <c r="BB145" s="1" t="s">
        <v>192</v>
      </c>
      <c r="BC145" s="1" t="s">
        <v>192</v>
      </c>
      <c r="BD145" s="1" t="s">
        <v>192</v>
      </c>
      <c r="BE145" s="1" t="s">
        <v>192</v>
      </c>
      <c r="BF145" s="1" t="s">
        <v>192</v>
      </c>
      <c r="BG145" s="1" t="s">
        <v>192</v>
      </c>
      <c r="BH145" s="1" t="s">
        <v>192</v>
      </c>
      <c r="BI145" s="1" t="s">
        <v>192</v>
      </c>
      <c r="BJ145" s="1" t="s">
        <v>192</v>
      </c>
      <c r="BK145" s="1" t="s">
        <v>192</v>
      </c>
      <c r="BL145" s="1" t="s">
        <v>192</v>
      </c>
      <c r="BM145" s="1" t="s">
        <v>192</v>
      </c>
      <c r="BN145" s="1" t="s">
        <v>192</v>
      </c>
      <c r="BO145" s="1" t="s">
        <v>192</v>
      </c>
      <c r="BP145" s="1" t="s">
        <v>192</v>
      </c>
      <c r="BQ145" s="1" t="s">
        <v>192</v>
      </c>
      <c r="BR145" s="1" t="s">
        <v>192</v>
      </c>
      <c r="BS145" s="1" t="s">
        <v>192</v>
      </c>
      <c r="BT145" s="1" t="s">
        <v>192</v>
      </c>
      <c r="BU145" s="1" t="s">
        <v>192</v>
      </c>
      <c r="BV145" s="1" t="s">
        <v>192</v>
      </c>
      <c r="BW145" s="1" t="s">
        <v>192</v>
      </c>
      <c r="BX145" s="1" t="s">
        <v>192</v>
      </c>
      <c r="BY145" s="1" t="s">
        <v>192</v>
      </c>
      <c r="BZ145" s="1" t="s">
        <v>192</v>
      </c>
      <c r="CA145" s="1" t="s">
        <v>192</v>
      </c>
      <c r="CB145" s="1" t="s">
        <v>192</v>
      </c>
      <c r="CC145" s="1" t="s">
        <v>192</v>
      </c>
      <c r="CD145" s="1" t="s">
        <v>192</v>
      </c>
      <c r="CE145" s="1" t="s">
        <v>192</v>
      </c>
      <c r="CF145" s="1" t="s">
        <v>192</v>
      </c>
      <c r="CG145" s="1">
        <v>2</v>
      </c>
      <c r="CH145" s="1" t="s">
        <v>192</v>
      </c>
      <c r="CI145" s="1" t="s">
        <v>192</v>
      </c>
      <c r="CJ145" s="1" t="s">
        <v>192</v>
      </c>
      <c r="CK145" s="1" t="s">
        <v>192</v>
      </c>
      <c r="CL145" s="1" t="s">
        <v>192</v>
      </c>
      <c r="CM145" s="1" t="s">
        <v>192</v>
      </c>
      <c r="CN145" s="1" t="s">
        <v>192</v>
      </c>
      <c r="CO145" s="1" t="s">
        <v>192</v>
      </c>
      <c r="CP145" s="1" t="s">
        <v>192</v>
      </c>
      <c r="CQ145" s="1" t="s">
        <v>192</v>
      </c>
      <c r="CR145" s="1" t="s">
        <v>192</v>
      </c>
      <c r="CS145" s="1">
        <v>1</v>
      </c>
      <c r="CT145" s="1">
        <f>SUM(Table7[[#This Row],[Acyl_amino_acids]:[T3PKS]])</f>
        <v>11</v>
      </c>
      <c r="CU145" s="1" t="s">
        <v>192</v>
      </c>
      <c r="CW145" s="1" t="str">
        <f>Table7[[#This Row],[NRPS]]</f>
        <v>-</v>
      </c>
      <c r="CX145" s="1">
        <f>SUM(CP145,CR145,CS145,Table7[[#This Row],[T1PKS, T3PKS]])</f>
        <v>1</v>
      </c>
      <c r="CY145" s="1">
        <f t="shared" si="2"/>
        <v>0</v>
      </c>
      <c r="CZ145" s="1">
        <f>Table7[[#This Row],[Terpene]]</f>
        <v>2</v>
      </c>
      <c r="DA145" s="1">
        <f>SUM(Table7[[#This Row],[Thiopeptide]],BH145,BF145,BE145,BC145,AZ145,AX145,AW145,AJ145,AH145,N145,L145,J145,H145,I145,K145,R145,Q145,Table7[[#This Row],[Cyanobactin, LAP]])</f>
        <v>8</v>
      </c>
      <c r="DB145" s="1">
        <f>SUM(CO145,CN145,CL145,CK145,CJ145,CI145,CH145,CF145,CE145,CD145,CB145,CA145,BZ145,BY145,BX145,BW145,BV145,BT145,BR145,BQ145,BP145,BO145,BM145,BK145,BJ145,BI145,BG145,BD145,BB145,BA145,AY145,AV145,AU145,AT145,AS145,AR145,AQ145,AP145,AO145,AN145,AM145,AL145,AK145,AG145,AF145,AE145,AD145,AC145,AB145,AA145,Z145,Y145,X145,W145,V145,U145,T145,S145,P145,O145,M145,Table7[[#This Row],[Acyl_amino_acids]],E145,F145,G145,)</f>
        <v>0</v>
      </c>
    </row>
    <row r="146" spans="1:106" x14ac:dyDescent="0.25">
      <c r="A146" s="9" t="s">
        <v>682</v>
      </c>
      <c r="B146" s="1" t="s">
        <v>435</v>
      </c>
      <c r="C146" s="1" t="s">
        <v>380</v>
      </c>
      <c r="D146" s="1" t="s">
        <v>192</v>
      </c>
      <c r="E146" s="1" t="s">
        <v>192</v>
      </c>
      <c r="F146" s="1" t="s">
        <v>192</v>
      </c>
      <c r="G146" s="1" t="s">
        <v>192</v>
      </c>
      <c r="H146" s="1" t="s">
        <v>192</v>
      </c>
      <c r="I146" s="1" t="s">
        <v>192</v>
      </c>
      <c r="J146" s="1" t="s">
        <v>192</v>
      </c>
      <c r="K146" s="1" t="s">
        <v>192</v>
      </c>
      <c r="L146" s="1" t="s">
        <v>192</v>
      </c>
      <c r="M146" s="1" t="s">
        <v>192</v>
      </c>
      <c r="N146" s="1" t="s">
        <v>192</v>
      </c>
      <c r="O146" s="1" t="s">
        <v>192</v>
      </c>
      <c r="P146" s="1" t="s">
        <v>192</v>
      </c>
      <c r="Q146" s="1" t="s">
        <v>192</v>
      </c>
      <c r="R146" s="1" t="s">
        <v>192</v>
      </c>
      <c r="S146" s="1" t="s">
        <v>192</v>
      </c>
      <c r="T146" s="1" t="s">
        <v>192</v>
      </c>
      <c r="U146" s="1" t="s">
        <v>192</v>
      </c>
      <c r="V146" s="1" t="s">
        <v>192</v>
      </c>
      <c r="W146" s="1" t="s">
        <v>192</v>
      </c>
      <c r="X146" s="1" t="s">
        <v>192</v>
      </c>
      <c r="Y146" s="1" t="s">
        <v>192</v>
      </c>
      <c r="Z146" s="1" t="s">
        <v>192</v>
      </c>
      <c r="AA146" s="1" t="s">
        <v>192</v>
      </c>
      <c r="AB146" s="1" t="s">
        <v>192</v>
      </c>
      <c r="AC146" s="1" t="s">
        <v>192</v>
      </c>
      <c r="AD146" s="1" t="s">
        <v>192</v>
      </c>
      <c r="AE146" s="1" t="s">
        <v>192</v>
      </c>
      <c r="AF146" s="1" t="s">
        <v>192</v>
      </c>
      <c r="AG146" s="1" t="s">
        <v>192</v>
      </c>
      <c r="AH146" s="1" t="s">
        <v>192</v>
      </c>
      <c r="AI146" s="1" t="s">
        <v>192</v>
      </c>
      <c r="AJ146" s="1" t="s">
        <v>192</v>
      </c>
      <c r="AK146" s="1" t="s">
        <v>192</v>
      </c>
      <c r="AL146" s="1" t="s">
        <v>192</v>
      </c>
      <c r="AM146" s="1" t="s">
        <v>192</v>
      </c>
      <c r="AN146" s="1" t="s">
        <v>192</v>
      </c>
      <c r="AO146" s="1" t="s">
        <v>192</v>
      </c>
      <c r="AP146" s="1" t="s">
        <v>192</v>
      </c>
      <c r="AQ146" s="1" t="s">
        <v>192</v>
      </c>
      <c r="AR146" s="1" t="s">
        <v>192</v>
      </c>
      <c r="AS146" s="1" t="s">
        <v>192</v>
      </c>
      <c r="AT146" s="1" t="s">
        <v>192</v>
      </c>
      <c r="AU146" s="1" t="s">
        <v>192</v>
      </c>
      <c r="AV146" s="1" t="s">
        <v>192</v>
      </c>
      <c r="AW146" s="1" t="s">
        <v>192</v>
      </c>
      <c r="AX146" s="1" t="s">
        <v>192</v>
      </c>
      <c r="AY146" s="1" t="s">
        <v>192</v>
      </c>
      <c r="AZ146" s="1" t="s">
        <v>192</v>
      </c>
      <c r="BA146" s="1" t="s">
        <v>192</v>
      </c>
      <c r="BB146" s="1" t="s">
        <v>192</v>
      </c>
      <c r="BC146" s="1" t="s">
        <v>192</v>
      </c>
      <c r="BD146" s="1" t="s">
        <v>192</v>
      </c>
      <c r="BE146" s="1" t="s">
        <v>192</v>
      </c>
      <c r="BF146" s="1" t="s">
        <v>192</v>
      </c>
      <c r="BG146" s="1" t="s">
        <v>192</v>
      </c>
      <c r="BH146" s="1" t="s">
        <v>192</v>
      </c>
      <c r="BI146" s="1" t="s">
        <v>192</v>
      </c>
      <c r="BJ146" s="1" t="s">
        <v>192</v>
      </c>
      <c r="BK146" s="1" t="s">
        <v>192</v>
      </c>
      <c r="BL146" s="1" t="s">
        <v>192</v>
      </c>
      <c r="BM146" s="1" t="s">
        <v>192</v>
      </c>
      <c r="BN146" s="1" t="s">
        <v>192</v>
      </c>
      <c r="BO146" s="1" t="s">
        <v>192</v>
      </c>
      <c r="BP146" s="1" t="s">
        <v>192</v>
      </c>
      <c r="BQ146" s="1" t="s">
        <v>192</v>
      </c>
      <c r="BR146" s="1" t="s">
        <v>192</v>
      </c>
      <c r="BS146" s="1" t="s">
        <v>192</v>
      </c>
      <c r="BT146" s="1" t="s">
        <v>192</v>
      </c>
      <c r="BU146" s="1" t="s">
        <v>192</v>
      </c>
      <c r="BV146" s="1" t="s">
        <v>192</v>
      </c>
      <c r="BW146" s="1" t="s">
        <v>192</v>
      </c>
      <c r="BX146" s="1" t="s">
        <v>192</v>
      </c>
      <c r="BY146" s="1" t="s">
        <v>192</v>
      </c>
      <c r="BZ146" s="1" t="s">
        <v>192</v>
      </c>
      <c r="CA146" s="1" t="s">
        <v>192</v>
      </c>
      <c r="CB146" s="1" t="s">
        <v>192</v>
      </c>
      <c r="CC146" s="1" t="s">
        <v>192</v>
      </c>
      <c r="CD146" s="1" t="s">
        <v>192</v>
      </c>
      <c r="CE146" s="1" t="s">
        <v>192</v>
      </c>
      <c r="CF146" s="1" t="s">
        <v>192</v>
      </c>
      <c r="CG146" s="1">
        <v>1</v>
      </c>
      <c r="CH146" s="1" t="s">
        <v>192</v>
      </c>
      <c r="CI146" s="1" t="s">
        <v>192</v>
      </c>
      <c r="CJ146" s="1" t="s">
        <v>192</v>
      </c>
      <c r="CK146" s="1" t="s">
        <v>192</v>
      </c>
      <c r="CL146" s="1" t="s">
        <v>192</v>
      </c>
      <c r="CM146" s="1" t="s">
        <v>192</v>
      </c>
      <c r="CN146" s="1" t="s">
        <v>192</v>
      </c>
      <c r="CO146" s="1" t="s">
        <v>192</v>
      </c>
      <c r="CP146" s="1" t="s">
        <v>192</v>
      </c>
      <c r="CQ146" s="1" t="s">
        <v>192</v>
      </c>
      <c r="CR146" s="1" t="s">
        <v>192</v>
      </c>
      <c r="CS146" s="1" t="s">
        <v>192</v>
      </c>
      <c r="CT146" s="1">
        <f>SUM(Table7[[#This Row],[Acyl_amino_acids]:[T3PKS]])</f>
        <v>1</v>
      </c>
      <c r="CU146" s="1" t="s">
        <v>192</v>
      </c>
      <c r="CW146" s="1" t="str">
        <f>Table7[[#This Row],[NRPS]]</f>
        <v>-</v>
      </c>
      <c r="CX146" s="1">
        <f>SUM(CP146,CR146,CS146,Table7[[#This Row],[T1PKS, T3PKS]])</f>
        <v>0</v>
      </c>
      <c r="CY146" s="1">
        <f t="shared" si="2"/>
        <v>0</v>
      </c>
      <c r="CZ146" s="1">
        <f>Table7[[#This Row],[Terpene]]</f>
        <v>1</v>
      </c>
      <c r="DA146" s="1">
        <f>SUM(Table7[[#This Row],[Thiopeptide]],BH146,BF146,BE146,BC146,AZ146,AX146,AW146,AJ146,AH146,N146,L146,J146,H146,I146,K146,R146,Q146,Table7[[#This Row],[Cyanobactin, LAP]])</f>
        <v>0</v>
      </c>
      <c r="DB146" s="1">
        <f>SUM(CO146,CN146,CL146,CK146,CJ146,CI146,CH146,CF146,CE146,CD146,CB146,CA146,BZ146,BY146,BX146,BW146,BV146,BT146,BR146,BQ146,BP146,BO146,BM146,BK146,BJ146,BI146,BG146,BD146,BB146,BA146,AY146,AV146,AU146,AT146,AS146,AR146,AQ146,AP146,AO146,AN146,AM146,AL146,AK146,AG146,AF146,AE146,AD146,AC146,AB146,AA146,Z146,Y146,X146,W146,V146,U146,T146,S146,P146,O146,M146,Table7[[#This Row],[Acyl_amino_acids]],E146,F146,G146,)</f>
        <v>0</v>
      </c>
    </row>
    <row r="147" spans="1:106" x14ac:dyDescent="0.25">
      <c r="A147" s="9" t="s">
        <v>683</v>
      </c>
      <c r="B147" s="1" t="s">
        <v>435</v>
      </c>
      <c r="C147" s="1" t="s">
        <v>381</v>
      </c>
      <c r="D147" s="1" t="s">
        <v>192</v>
      </c>
      <c r="E147" s="1" t="s">
        <v>192</v>
      </c>
      <c r="F147" s="1" t="s">
        <v>192</v>
      </c>
      <c r="G147" s="1" t="s">
        <v>192</v>
      </c>
      <c r="H147" s="1" t="s">
        <v>192</v>
      </c>
      <c r="I147" s="1" t="s">
        <v>192</v>
      </c>
      <c r="J147" s="1" t="s">
        <v>192</v>
      </c>
      <c r="K147" s="1" t="s">
        <v>192</v>
      </c>
      <c r="L147" s="1" t="s">
        <v>192</v>
      </c>
      <c r="M147" s="1" t="s">
        <v>192</v>
      </c>
      <c r="N147" s="1" t="s">
        <v>192</v>
      </c>
      <c r="O147" s="1" t="s">
        <v>192</v>
      </c>
      <c r="P147" s="1" t="s">
        <v>192</v>
      </c>
      <c r="Q147" s="1" t="s">
        <v>192</v>
      </c>
      <c r="R147" s="1" t="s">
        <v>192</v>
      </c>
      <c r="S147" s="1" t="s">
        <v>192</v>
      </c>
      <c r="T147" s="1" t="s">
        <v>192</v>
      </c>
      <c r="U147" s="1" t="s">
        <v>192</v>
      </c>
      <c r="V147" s="1" t="s">
        <v>192</v>
      </c>
      <c r="W147" s="1" t="s">
        <v>192</v>
      </c>
      <c r="X147" s="1" t="s">
        <v>192</v>
      </c>
      <c r="Y147" s="1" t="s">
        <v>192</v>
      </c>
      <c r="Z147" s="1" t="s">
        <v>192</v>
      </c>
      <c r="AA147" s="1" t="s">
        <v>192</v>
      </c>
      <c r="AB147" s="1" t="s">
        <v>192</v>
      </c>
      <c r="AC147" s="1" t="s">
        <v>192</v>
      </c>
      <c r="AD147" s="1" t="s">
        <v>192</v>
      </c>
      <c r="AE147" s="1" t="s">
        <v>192</v>
      </c>
      <c r="AF147" s="1" t="s">
        <v>192</v>
      </c>
      <c r="AG147" s="1" t="s">
        <v>192</v>
      </c>
      <c r="AH147" s="1" t="s">
        <v>192</v>
      </c>
      <c r="AI147" s="1" t="s">
        <v>192</v>
      </c>
      <c r="AJ147" s="1" t="s">
        <v>192</v>
      </c>
      <c r="AK147" s="1" t="s">
        <v>192</v>
      </c>
      <c r="AL147" s="1" t="s">
        <v>192</v>
      </c>
      <c r="AM147" s="1" t="s">
        <v>192</v>
      </c>
      <c r="AN147" s="1" t="s">
        <v>192</v>
      </c>
      <c r="AO147" s="1" t="s">
        <v>192</v>
      </c>
      <c r="AP147" s="1" t="s">
        <v>192</v>
      </c>
      <c r="AQ147" s="1" t="s">
        <v>192</v>
      </c>
      <c r="AR147" s="1" t="s">
        <v>192</v>
      </c>
      <c r="AS147" s="1" t="s">
        <v>192</v>
      </c>
      <c r="AT147" s="1" t="s">
        <v>192</v>
      </c>
      <c r="AU147" s="1" t="s">
        <v>192</v>
      </c>
      <c r="AV147" s="1" t="s">
        <v>192</v>
      </c>
      <c r="AW147" s="1" t="s">
        <v>192</v>
      </c>
      <c r="AX147" s="1" t="s">
        <v>192</v>
      </c>
      <c r="AY147" s="1" t="s">
        <v>192</v>
      </c>
      <c r="AZ147" s="1" t="s">
        <v>192</v>
      </c>
      <c r="BA147" s="1" t="s">
        <v>192</v>
      </c>
      <c r="BB147" s="1" t="s">
        <v>192</v>
      </c>
      <c r="BC147" s="1" t="s">
        <v>192</v>
      </c>
      <c r="BD147" s="1" t="s">
        <v>192</v>
      </c>
      <c r="BE147" s="1" t="s">
        <v>192</v>
      </c>
      <c r="BF147" s="1" t="s">
        <v>192</v>
      </c>
      <c r="BG147" s="1" t="s">
        <v>192</v>
      </c>
      <c r="BH147" s="1" t="s">
        <v>192</v>
      </c>
      <c r="BI147" s="1" t="s">
        <v>192</v>
      </c>
      <c r="BJ147" s="1" t="s">
        <v>192</v>
      </c>
      <c r="BK147" s="1" t="s">
        <v>192</v>
      </c>
      <c r="BL147" s="1" t="s">
        <v>192</v>
      </c>
      <c r="BM147" s="1" t="s">
        <v>192</v>
      </c>
      <c r="BN147" s="1" t="s">
        <v>192</v>
      </c>
      <c r="BO147" s="1" t="s">
        <v>192</v>
      </c>
      <c r="BP147" s="1" t="s">
        <v>192</v>
      </c>
      <c r="BQ147" s="1" t="s">
        <v>192</v>
      </c>
      <c r="BR147" s="1" t="s">
        <v>192</v>
      </c>
      <c r="BS147" s="1" t="s">
        <v>192</v>
      </c>
      <c r="BT147" s="1" t="s">
        <v>192</v>
      </c>
      <c r="BU147" s="1" t="s">
        <v>192</v>
      </c>
      <c r="BV147" s="1" t="s">
        <v>192</v>
      </c>
      <c r="BW147" s="1" t="s">
        <v>192</v>
      </c>
      <c r="BX147" s="1" t="s">
        <v>192</v>
      </c>
      <c r="BY147" s="1" t="s">
        <v>192</v>
      </c>
      <c r="BZ147" s="1" t="s">
        <v>192</v>
      </c>
      <c r="CA147" s="1" t="s">
        <v>192</v>
      </c>
      <c r="CB147" s="1" t="s">
        <v>192</v>
      </c>
      <c r="CC147" s="1" t="s">
        <v>192</v>
      </c>
      <c r="CD147" s="1" t="s">
        <v>192</v>
      </c>
      <c r="CE147" s="1" t="s">
        <v>192</v>
      </c>
      <c r="CF147" s="1" t="s">
        <v>192</v>
      </c>
      <c r="CG147" s="1">
        <v>1</v>
      </c>
      <c r="CH147" s="1" t="s">
        <v>192</v>
      </c>
      <c r="CI147" s="1" t="s">
        <v>192</v>
      </c>
      <c r="CJ147" s="1" t="s">
        <v>192</v>
      </c>
      <c r="CK147" s="1" t="s">
        <v>192</v>
      </c>
      <c r="CL147" s="1" t="s">
        <v>192</v>
      </c>
      <c r="CM147" s="1" t="s">
        <v>192</v>
      </c>
      <c r="CN147" s="1" t="s">
        <v>192</v>
      </c>
      <c r="CO147" s="1" t="s">
        <v>192</v>
      </c>
      <c r="CP147" s="1" t="s">
        <v>192</v>
      </c>
      <c r="CQ147" s="1" t="s">
        <v>192</v>
      </c>
      <c r="CR147" s="1" t="s">
        <v>192</v>
      </c>
      <c r="CS147" s="1" t="s">
        <v>192</v>
      </c>
      <c r="CT147" s="1">
        <f>SUM(Table7[[#This Row],[Acyl_amino_acids]:[T3PKS]])</f>
        <v>1</v>
      </c>
      <c r="CU147" s="1" t="s">
        <v>192</v>
      </c>
      <c r="CW147" s="1" t="str">
        <f>Table7[[#This Row],[NRPS]]</f>
        <v>-</v>
      </c>
      <c r="CX147" s="1">
        <f>SUM(CP147,CR147,CS147,Table7[[#This Row],[T1PKS, T3PKS]])</f>
        <v>0</v>
      </c>
      <c r="CY147" s="1">
        <f t="shared" si="2"/>
        <v>0</v>
      </c>
      <c r="CZ147" s="1">
        <f>Table7[[#This Row],[Terpene]]</f>
        <v>1</v>
      </c>
      <c r="DA147" s="1">
        <f>SUM(Table7[[#This Row],[Thiopeptide]],BH147,BF147,BE147,BC147,AZ147,AX147,AW147,AJ147,AH147,N147,L147,J147,H147,I147,K147,R147,Q147,Table7[[#This Row],[Cyanobactin, LAP]])</f>
        <v>0</v>
      </c>
      <c r="DB147" s="1">
        <f>SUM(CO147,CN147,CL147,CK147,CJ147,CI147,CH147,CF147,CE147,CD147,CB147,CA147,BZ147,BY147,BX147,BW147,BV147,BT147,BR147,BQ147,BP147,BO147,BM147,BK147,BJ147,BI147,BG147,BD147,BB147,BA147,AY147,AV147,AU147,AT147,AS147,AR147,AQ147,AP147,AO147,AN147,AM147,AL147,AK147,AG147,AF147,AE147,AD147,AC147,AB147,AA147,Z147,Y147,X147,W147,V147,U147,T147,S147,P147,O147,M147,Table7[[#This Row],[Acyl_amino_acids]],E147,F147,G147,)</f>
        <v>0</v>
      </c>
    </row>
    <row r="148" spans="1:106" x14ac:dyDescent="0.25">
      <c r="A148" s="9" t="s">
        <v>734</v>
      </c>
      <c r="B148" s="1" t="s">
        <v>435</v>
      </c>
      <c r="C148" s="1" t="s">
        <v>382</v>
      </c>
      <c r="D148" s="1" t="s">
        <v>192</v>
      </c>
      <c r="E148" s="3" t="s">
        <v>192</v>
      </c>
      <c r="F148" s="3" t="s">
        <v>192</v>
      </c>
      <c r="G148" s="3" t="s">
        <v>192</v>
      </c>
      <c r="H148" s="3">
        <v>8</v>
      </c>
      <c r="I148" s="3" t="s">
        <v>192</v>
      </c>
      <c r="J148" s="3" t="s">
        <v>192</v>
      </c>
      <c r="K148" s="3" t="s">
        <v>192</v>
      </c>
      <c r="L148" s="3" t="s">
        <v>192</v>
      </c>
      <c r="M148" s="3" t="s">
        <v>192</v>
      </c>
      <c r="N148" s="3">
        <v>1</v>
      </c>
      <c r="O148" s="3" t="s">
        <v>192</v>
      </c>
      <c r="P148" s="3" t="s">
        <v>192</v>
      </c>
      <c r="Q148" s="3" t="s">
        <v>192</v>
      </c>
      <c r="R148" s="3" t="s">
        <v>192</v>
      </c>
      <c r="S148" s="3" t="s">
        <v>192</v>
      </c>
      <c r="T148" s="3" t="s">
        <v>192</v>
      </c>
      <c r="U148" s="3" t="s">
        <v>192</v>
      </c>
      <c r="V148" s="3">
        <v>1</v>
      </c>
      <c r="W148" s="3" t="s">
        <v>192</v>
      </c>
      <c r="X148" s="3" t="s">
        <v>192</v>
      </c>
      <c r="Y148" s="3" t="s">
        <v>192</v>
      </c>
      <c r="Z148" s="3" t="s">
        <v>192</v>
      </c>
      <c r="AA148" s="3" t="s">
        <v>192</v>
      </c>
      <c r="AB148" s="3" t="s">
        <v>192</v>
      </c>
      <c r="AC148" s="3" t="s">
        <v>192</v>
      </c>
      <c r="AD148" s="3" t="s">
        <v>192</v>
      </c>
      <c r="AE148" s="3" t="s">
        <v>192</v>
      </c>
      <c r="AF148" s="3" t="s">
        <v>192</v>
      </c>
      <c r="AG148" s="3" t="s">
        <v>192</v>
      </c>
      <c r="AH148" s="3" t="s">
        <v>192</v>
      </c>
      <c r="AI148" s="3" t="s">
        <v>192</v>
      </c>
      <c r="AJ148" s="3" t="s">
        <v>192</v>
      </c>
      <c r="AK148" s="3" t="s">
        <v>192</v>
      </c>
      <c r="AL148" s="3" t="s">
        <v>192</v>
      </c>
      <c r="AM148" s="3" t="s">
        <v>192</v>
      </c>
      <c r="AN148" s="3" t="s">
        <v>192</v>
      </c>
      <c r="AO148" s="3" t="s">
        <v>192</v>
      </c>
      <c r="AP148" s="3" t="s">
        <v>192</v>
      </c>
      <c r="AQ148" s="3" t="s">
        <v>192</v>
      </c>
      <c r="AR148" s="3" t="s">
        <v>192</v>
      </c>
      <c r="AS148" s="3" t="s">
        <v>192</v>
      </c>
      <c r="AT148" s="3" t="s">
        <v>192</v>
      </c>
      <c r="AU148" s="3" t="s">
        <v>192</v>
      </c>
      <c r="AV148" s="3" t="s">
        <v>192</v>
      </c>
      <c r="AW148" s="3" t="s">
        <v>192</v>
      </c>
      <c r="AX148" s="3" t="s">
        <v>192</v>
      </c>
      <c r="AY148" s="3" t="s">
        <v>192</v>
      </c>
      <c r="AZ148" s="3" t="s">
        <v>192</v>
      </c>
      <c r="BA148" s="3" t="s">
        <v>192</v>
      </c>
      <c r="BB148" s="3" t="s">
        <v>192</v>
      </c>
      <c r="BC148" s="3" t="s">
        <v>192</v>
      </c>
      <c r="BD148" s="3" t="s">
        <v>192</v>
      </c>
      <c r="BE148" s="3" t="s">
        <v>192</v>
      </c>
      <c r="BF148" s="3" t="s">
        <v>192</v>
      </c>
      <c r="BG148" s="3" t="s">
        <v>192</v>
      </c>
      <c r="BH148" s="3" t="s">
        <v>192</v>
      </c>
      <c r="BI148" s="3" t="s">
        <v>192</v>
      </c>
      <c r="BJ148" s="3" t="s">
        <v>192</v>
      </c>
      <c r="BK148" s="3" t="s">
        <v>192</v>
      </c>
      <c r="BL148" s="3" t="s">
        <v>192</v>
      </c>
      <c r="BM148" s="3" t="s">
        <v>192</v>
      </c>
      <c r="BN148" s="3" t="s">
        <v>192</v>
      </c>
      <c r="BO148" s="3" t="s">
        <v>192</v>
      </c>
      <c r="BP148" s="3" t="s">
        <v>192</v>
      </c>
      <c r="BQ148" s="3" t="s">
        <v>192</v>
      </c>
      <c r="BR148" s="3" t="s">
        <v>192</v>
      </c>
      <c r="BS148" s="3" t="s">
        <v>192</v>
      </c>
      <c r="BT148" s="3" t="s">
        <v>192</v>
      </c>
      <c r="BU148" s="3" t="s">
        <v>192</v>
      </c>
      <c r="BV148" s="3" t="s">
        <v>192</v>
      </c>
      <c r="BW148" s="3" t="s">
        <v>192</v>
      </c>
      <c r="BX148" s="3" t="s">
        <v>192</v>
      </c>
      <c r="BY148" s="3" t="s">
        <v>192</v>
      </c>
      <c r="BZ148" s="3" t="s">
        <v>192</v>
      </c>
      <c r="CA148" s="3" t="s">
        <v>192</v>
      </c>
      <c r="CB148" s="3" t="s">
        <v>192</v>
      </c>
      <c r="CC148" s="3" t="s">
        <v>192</v>
      </c>
      <c r="CD148" s="3" t="s">
        <v>192</v>
      </c>
      <c r="CE148" s="3" t="s">
        <v>192</v>
      </c>
      <c r="CF148" s="3" t="s">
        <v>192</v>
      </c>
      <c r="CG148" s="3">
        <v>1</v>
      </c>
      <c r="CH148" s="3" t="s">
        <v>192</v>
      </c>
      <c r="CI148" s="3" t="s">
        <v>192</v>
      </c>
      <c r="CJ148" s="3" t="s">
        <v>192</v>
      </c>
      <c r="CK148" s="3" t="s">
        <v>192</v>
      </c>
      <c r="CL148" s="3" t="s">
        <v>192</v>
      </c>
      <c r="CM148" s="3" t="s">
        <v>192</v>
      </c>
      <c r="CN148" s="3" t="s">
        <v>192</v>
      </c>
      <c r="CO148" s="3" t="s">
        <v>192</v>
      </c>
      <c r="CP148" s="3" t="s">
        <v>192</v>
      </c>
      <c r="CQ148" s="3" t="s">
        <v>192</v>
      </c>
      <c r="CR148" s="3" t="s">
        <v>192</v>
      </c>
      <c r="CS148" s="3">
        <v>1</v>
      </c>
      <c r="CT148" s="1">
        <f>SUM(Table7[[#This Row],[Acyl_amino_acids]:[T3PKS]])</f>
        <v>12</v>
      </c>
      <c r="CU148" s="3" t="s">
        <v>192</v>
      </c>
      <c r="CW148" s="1" t="str">
        <f>Table7[[#This Row],[NRPS]]</f>
        <v>-</v>
      </c>
      <c r="CX148" s="1">
        <f>SUM(CP148,CR148,CS148,Table7[[#This Row],[T1PKS, T3PKS]])</f>
        <v>1</v>
      </c>
      <c r="CY148" s="1">
        <f t="shared" si="2"/>
        <v>0</v>
      </c>
      <c r="CZ148" s="1">
        <f>Table7[[#This Row],[Terpene]]</f>
        <v>1</v>
      </c>
      <c r="DA148" s="1">
        <f>SUM(Table7[[#This Row],[Thiopeptide]],BH148,BF148,BE148,BC148,AZ148,AX148,AW148,AJ148,AH148,N148,L148,J148,H148,I148,K148,R148,Q148,Table7[[#This Row],[Cyanobactin, LAP]])</f>
        <v>9</v>
      </c>
      <c r="DB148" s="1">
        <f>SUM(CO148,CN148,CL148,CK148,CJ148,CI148,CH148,CF148,CE148,CD148,CB148,CA148,BZ148,BY148,BX148,BW148,BV148,BT148,BR148,BQ148,BP148,BO148,BM148,BK148,BJ148,BI148,BG148,BD148,BB148,BA148,AY148,AV148,AU148,AT148,AS148,AR148,AQ148,AP148,AO148,AN148,AM148,AL148,AK148,AG148,AF148,AE148,AD148,AC148,AB148,AA148,Z148,Y148,X148,W148,V148,U148,T148,S148,P148,O148,M148,Table7[[#This Row],[Acyl_amino_acids]],E148,F148,G148,)</f>
        <v>1</v>
      </c>
    </row>
    <row r="149" spans="1:106" x14ac:dyDescent="0.25">
      <c r="A149" s="9" t="s">
        <v>735</v>
      </c>
      <c r="B149" s="1" t="s">
        <v>435</v>
      </c>
      <c r="C149" s="1" t="s">
        <v>383</v>
      </c>
      <c r="D149" s="1" t="s">
        <v>192</v>
      </c>
      <c r="E149" s="3" t="s">
        <v>192</v>
      </c>
      <c r="F149" s="3" t="s">
        <v>192</v>
      </c>
      <c r="G149" s="3" t="s">
        <v>192</v>
      </c>
      <c r="H149" s="3">
        <v>3</v>
      </c>
      <c r="I149" s="3" t="s">
        <v>192</v>
      </c>
      <c r="J149" s="3" t="s">
        <v>192</v>
      </c>
      <c r="K149" s="3" t="s">
        <v>192</v>
      </c>
      <c r="L149" s="3" t="s">
        <v>192</v>
      </c>
      <c r="M149" s="3" t="s">
        <v>192</v>
      </c>
      <c r="N149" s="3" t="s">
        <v>192</v>
      </c>
      <c r="O149" s="3" t="s">
        <v>192</v>
      </c>
      <c r="P149" s="3" t="s">
        <v>192</v>
      </c>
      <c r="Q149" s="3" t="s">
        <v>192</v>
      </c>
      <c r="R149" s="3" t="s">
        <v>192</v>
      </c>
      <c r="S149" s="3" t="s">
        <v>192</v>
      </c>
      <c r="T149" s="3" t="s">
        <v>192</v>
      </c>
      <c r="U149" s="3" t="s">
        <v>192</v>
      </c>
      <c r="V149" s="3">
        <v>1</v>
      </c>
      <c r="W149" s="3" t="s">
        <v>192</v>
      </c>
      <c r="X149" s="3" t="s">
        <v>192</v>
      </c>
      <c r="Y149" s="3" t="s">
        <v>192</v>
      </c>
      <c r="Z149" s="3" t="s">
        <v>192</v>
      </c>
      <c r="AA149" s="3" t="s">
        <v>192</v>
      </c>
      <c r="AB149" s="3" t="s">
        <v>192</v>
      </c>
      <c r="AC149" s="3" t="s">
        <v>192</v>
      </c>
      <c r="AD149" s="3" t="s">
        <v>192</v>
      </c>
      <c r="AE149" s="3" t="s">
        <v>192</v>
      </c>
      <c r="AF149" s="3" t="s">
        <v>192</v>
      </c>
      <c r="AG149" s="3" t="s">
        <v>192</v>
      </c>
      <c r="AH149" s="3" t="s">
        <v>192</v>
      </c>
      <c r="AI149" s="3" t="s">
        <v>192</v>
      </c>
      <c r="AJ149" s="3" t="s">
        <v>192</v>
      </c>
      <c r="AK149" s="3" t="s">
        <v>192</v>
      </c>
      <c r="AL149" s="3" t="s">
        <v>192</v>
      </c>
      <c r="AM149" s="3" t="s">
        <v>192</v>
      </c>
      <c r="AN149" s="3" t="s">
        <v>192</v>
      </c>
      <c r="AO149" s="3" t="s">
        <v>192</v>
      </c>
      <c r="AP149" s="3" t="s">
        <v>192</v>
      </c>
      <c r="AQ149" s="3" t="s">
        <v>192</v>
      </c>
      <c r="AR149" s="3" t="s">
        <v>192</v>
      </c>
      <c r="AS149" s="3" t="s">
        <v>192</v>
      </c>
      <c r="AT149" s="3" t="s">
        <v>192</v>
      </c>
      <c r="AU149" s="3" t="s">
        <v>192</v>
      </c>
      <c r="AV149" s="3" t="s">
        <v>192</v>
      </c>
      <c r="AW149" s="3" t="s">
        <v>192</v>
      </c>
      <c r="AX149" s="3" t="s">
        <v>192</v>
      </c>
      <c r="AY149" s="3" t="s">
        <v>192</v>
      </c>
      <c r="AZ149" s="3" t="s">
        <v>192</v>
      </c>
      <c r="BA149" s="3" t="s">
        <v>192</v>
      </c>
      <c r="BB149" s="3" t="s">
        <v>192</v>
      </c>
      <c r="BC149" s="3" t="s">
        <v>192</v>
      </c>
      <c r="BD149" s="3" t="s">
        <v>192</v>
      </c>
      <c r="BE149" s="3" t="s">
        <v>192</v>
      </c>
      <c r="BF149" s="3" t="s">
        <v>192</v>
      </c>
      <c r="BG149" s="3" t="s">
        <v>192</v>
      </c>
      <c r="BH149" s="3" t="s">
        <v>192</v>
      </c>
      <c r="BI149" s="3" t="s">
        <v>192</v>
      </c>
      <c r="BJ149" s="3" t="s">
        <v>192</v>
      </c>
      <c r="BK149" s="3" t="s">
        <v>192</v>
      </c>
      <c r="BL149" s="3" t="s">
        <v>192</v>
      </c>
      <c r="BM149" s="3" t="s">
        <v>192</v>
      </c>
      <c r="BN149" s="3" t="s">
        <v>192</v>
      </c>
      <c r="BO149" s="3" t="s">
        <v>192</v>
      </c>
      <c r="BP149" s="3" t="s">
        <v>192</v>
      </c>
      <c r="BQ149" s="3" t="s">
        <v>192</v>
      </c>
      <c r="BR149" s="3" t="s">
        <v>192</v>
      </c>
      <c r="BS149" s="3" t="s">
        <v>192</v>
      </c>
      <c r="BT149" s="3" t="s">
        <v>192</v>
      </c>
      <c r="BU149" s="3" t="s">
        <v>192</v>
      </c>
      <c r="BV149" s="3" t="s">
        <v>192</v>
      </c>
      <c r="BW149" s="3" t="s">
        <v>192</v>
      </c>
      <c r="BX149" s="3" t="s">
        <v>192</v>
      </c>
      <c r="BY149" s="3" t="s">
        <v>192</v>
      </c>
      <c r="BZ149" s="3" t="s">
        <v>192</v>
      </c>
      <c r="CA149" s="3" t="s">
        <v>192</v>
      </c>
      <c r="CB149" s="3" t="s">
        <v>192</v>
      </c>
      <c r="CC149" s="3" t="s">
        <v>192</v>
      </c>
      <c r="CD149" s="3" t="s">
        <v>192</v>
      </c>
      <c r="CE149" s="3" t="s">
        <v>192</v>
      </c>
      <c r="CF149" s="3" t="s">
        <v>192</v>
      </c>
      <c r="CG149" s="3">
        <v>1</v>
      </c>
      <c r="CH149" s="3" t="s">
        <v>192</v>
      </c>
      <c r="CI149" s="3" t="s">
        <v>192</v>
      </c>
      <c r="CJ149" s="3" t="s">
        <v>192</v>
      </c>
      <c r="CK149" s="3" t="s">
        <v>192</v>
      </c>
      <c r="CL149" s="3" t="s">
        <v>192</v>
      </c>
      <c r="CM149" s="3" t="s">
        <v>192</v>
      </c>
      <c r="CN149" s="3" t="s">
        <v>192</v>
      </c>
      <c r="CO149" s="3" t="s">
        <v>192</v>
      </c>
      <c r="CP149" s="3" t="s">
        <v>192</v>
      </c>
      <c r="CQ149" s="3" t="s">
        <v>192</v>
      </c>
      <c r="CR149" s="3" t="s">
        <v>192</v>
      </c>
      <c r="CS149" s="3" t="s">
        <v>192</v>
      </c>
      <c r="CT149" s="1">
        <f>SUM(Table7[[#This Row],[Acyl_amino_acids]:[T3PKS]])</f>
        <v>5</v>
      </c>
      <c r="CU149" s="3" t="s">
        <v>192</v>
      </c>
      <c r="CW149" s="1" t="str">
        <f>Table7[[#This Row],[NRPS]]</f>
        <v>-</v>
      </c>
      <c r="CX149" s="1">
        <f>SUM(CP149,CR149,CS149,Table7[[#This Row],[T1PKS, T3PKS]])</f>
        <v>0</v>
      </c>
      <c r="CY149" s="1">
        <f t="shared" si="2"/>
        <v>0</v>
      </c>
      <c r="CZ149" s="1">
        <f>Table7[[#This Row],[Terpene]]</f>
        <v>1</v>
      </c>
      <c r="DA149" s="1">
        <f>SUM(Table7[[#This Row],[Thiopeptide]],BH149,BF149,BE149,BC149,AZ149,AX149,AW149,AJ149,AH149,N149,L149,J149,H149,I149,K149,R149,Q149,Table7[[#This Row],[Cyanobactin, LAP]])</f>
        <v>3</v>
      </c>
      <c r="DB149" s="1">
        <f>SUM(CO149,CN149,CL149,CK149,CJ149,CI149,CH149,CF149,CE149,CD149,CB149,CA149,BZ149,BY149,BX149,BW149,BV149,BT149,BR149,BQ149,BP149,BO149,BM149,BK149,BJ149,BI149,BG149,BD149,BB149,BA149,AY149,AV149,AU149,AT149,AS149,AR149,AQ149,AP149,AO149,AN149,AM149,AL149,AK149,AG149,AF149,AE149,AD149,AC149,AB149,AA149,Z149,Y149,X149,W149,V149,U149,T149,S149,P149,O149,M149,Table7[[#This Row],[Acyl_amino_acids]],E149,F149,G149,)</f>
        <v>1</v>
      </c>
    </row>
    <row r="150" spans="1:106" x14ac:dyDescent="0.25">
      <c r="A150" s="9" t="s">
        <v>736</v>
      </c>
      <c r="B150" s="1" t="s">
        <v>435</v>
      </c>
      <c r="C150" s="1" t="s">
        <v>384</v>
      </c>
      <c r="D150" s="1" t="s">
        <v>192</v>
      </c>
      <c r="E150" s="3" t="s">
        <v>192</v>
      </c>
      <c r="F150" s="3" t="s">
        <v>192</v>
      </c>
      <c r="G150" s="3" t="s">
        <v>192</v>
      </c>
      <c r="H150" s="3">
        <v>4</v>
      </c>
      <c r="I150" s="3" t="s">
        <v>192</v>
      </c>
      <c r="J150" s="3" t="s">
        <v>192</v>
      </c>
      <c r="K150" s="3" t="s">
        <v>192</v>
      </c>
      <c r="L150" s="3" t="s">
        <v>192</v>
      </c>
      <c r="M150" s="3" t="s">
        <v>192</v>
      </c>
      <c r="N150" s="3" t="s">
        <v>192</v>
      </c>
      <c r="O150" s="3" t="s">
        <v>192</v>
      </c>
      <c r="P150" s="3" t="s">
        <v>192</v>
      </c>
      <c r="Q150" s="3" t="s">
        <v>192</v>
      </c>
      <c r="R150" s="3" t="s">
        <v>192</v>
      </c>
      <c r="S150" s="3" t="s">
        <v>192</v>
      </c>
      <c r="T150" s="3" t="s">
        <v>192</v>
      </c>
      <c r="U150" s="3" t="s">
        <v>192</v>
      </c>
      <c r="V150" s="3">
        <v>1</v>
      </c>
      <c r="W150" s="3" t="s">
        <v>192</v>
      </c>
      <c r="X150" s="3" t="s">
        <v>192</v>
      </c>
      <c r="Y150" s="3" t="s">
        <v>192</v>
      </c>
      <c r="Z150" s="3" t="s">
        <v>192</v>
      </c>
      <c r="AA150" s="3" t="s">
        <v>192</v>
      </c>
      <c r="AB150" s="3" t="s">
        <v>192</v>
      </c>
      <c r="AC150" s="3" t="s">
        <v>192</v>
      </c>
      <c r="AD150" s="3" t="s">
        <v>192</v>
      </c>
      <c r="AE150" s="3" t="s">
        <v>192</v>
      </c>
      <c r="AF150" s="3" t="s">
        <v>192</v>
      </c>
      <c r="AG150" s="3" t="s">
        <v>192</v>
      </c>
      <c r="AH150" s="3" t="s">
        <v>192</v>
      </c>
      <c r="AI150" s="3" t="s">
        <v>192</v>
      </c>
      <c r="AJ150" s="3" t="s">
        <v>192</v>
      </c>
      <c r="AK150" s="3" t="s">
        <v>192</v>
      </c>
      <c r="AL150" s="3" t="s">
        <v>192</v>
      </c>
      <c r="AM150" s="3" t="s">
        <v>192</v>
      </c>
      <c r="AN150" s="3" t="s">
        <v>192</v>
      </c>
      <c r="AO150" s="3" t="s">
        <v>192</v>
      </c>
      <c r="AP150" s="3" t="s">
        <v>192</v>
      </c>
      <c r="AQ150" s="3" t="s">
        <v>192</v>
      </c>
      <c r="AR150" s="3" t="s">
        <v>192</v>
      </c>
      <c r="AS150" s="3" t="s">
        <v>192</v>
      </c>
      <c r="AT150" s="3" t="s">
        <v>192</v>
      </c>
      <c r="AU150" s="3" t="s">
        <v>192</v>
      </c>
      <c r="AV150" s="3" t="s">
        <v>192</v>
      </c>
      <c r="AW150" s="3" t="s">
        <v>192</v>
      </c>
      <c r="AX150" s="3" t="s">
        <v>192</v>
      </c>
      <c r="AY150" s="3" t="s">
        <v>192</v>
      </c>
      <c r="AZ150" s="3" t="s">
        <v>192</v>
      </c>
      <c r="BA150" s="3" t="s">
        <v>192</v>
      </c>
      <c r="BB150" s="3" t="s">
        <v>192</v>
      </c>
      <c r="BC150" s="3" t="s">
        <v>192</v>
      </c>
      <c r="BD150" s="3" t="s">
        <v>192</v>
      </c>
      <c r="BE150" s="3" t="s">
        <v>192</v>
      </c>
      <c r="BF150" s="3" t="s">
        <v>192</v>
      </c>
      <c r="BG150" s="3" t="s">
        <v>192</v>
      </c>
      <c r="BH150" s="3" t="s">
        <v>192</v>
      </c>
      <c r="BI150" s="3" t="s">
        <v>192</v>
      </c>
      <c r="BJ150" s="3" t="s">
        <v>192</v>
      </c>
      <c r="BK150" s="3" t="s">
        <v>192</v>
      </c>
      <c r="BL150" s="3" t="s">
        <v>192</v>
      </c>
      <c r="BM150" s="3" t="s">
        <v>192</v>
      </c>
      <c r="BN150" s="3" t="s">
        <v>192</v>
      </c>
      <c r="BO150" s="3" t="s">
        <v>192</v>
      </c>
      <c r="BP150" s="3" t="s">
        <v>192</v>
      </c>
      <c r="BQ150" s="3" t="s">
        <v>192</v>
      </c>
      <c r="BR150" s="3" t="s">
        <v>192</v>
      </c>
      <c r="BS150" s="3" t="s">
        <v>192</v>
      </c>
      <c r="BT150" s="3" t="s">
        <v>192</v>
      </c>
      <c r="BU150" s="3" t="s">
        <v>192</v>
      </c>
      <c r="BV150" s="3" t="s">
        <v>192</v>
      </c>
      <c r="BW150" s="3" t="s">
        <v>192</v>
      </c>
      <c r="BX150" s="3" t="s">
        <v>192</v>
      </c>
      <c r="BY150" s="3" t="s">
        <v>192</v>
      </c>
      <c r="BZ150" s="3" t="s">
        <v>192</v>
      </c>
      <c r="CA150" s="3" t="s">
        <v>192</v>
      </c>
      <c r="CB150" s="3" t="s">
        <v>192</v>
      </c>
      <c r="CC150" s="3" t="s">
        <v>192</v>
      </c>
      <c r="CD150" s="3">
        <v>1</v>
      </c>
      <c r="CE150" s="3" t="s">
        <v>192</v>
      </c>
      <c r="CF150" s="3" t="s">
        <v>192</v>
      </c>
      <c r="CG150" s="3">
        <v>1</v>
      </c>
      <c r="CH150" s="3" t="s">
        <v>192</v>
      </c>
      <c r="CI150" s="3" t="s">
        <v>192</v>
      </c>
      <c r="CJ150" s="3" t="s">
        <v>192</v>
      </c>
      <c r="CK150" s="3" t="s">
        <v>192</v>
      </c>
      <c r="CL150" s="3" t="s">
        <v>192</v>
      </c>
      <c r="CM150" s="3" t="s">
        <v>192</v>
      </c>
      <c r="CN150" s="3" t="s">
        <v>192</v>
      </c>
      <c r="CO150" s="3" t="s">
        <v>192</v>
      </c>
      <c r="CP150" s="3" t="s">
        <v>192</v>
      </c>
      <c r="CQ150" s="3" t="s">
        <v>192</v>
      </c>
      <c r="CR150" s="3" t="s">
        <v>192</v>
      </c>
      <c r="CS150" s="3" t="s">
        <v>192</v>
      </c>
      <c r="CT150" s="1">
        <f>SUM(Table7[[#This Row],[Acyl_amino_acids]:[T3PKS]])</f>
        <v>7</v>
      </c>
      <c r="CU150" s="3" t="s">
        <v>192</v>
      </c>
      <c r="CW150" s="1" t="str">
        <f>Table7[[#This Row],[NRPS]]</f>
        <v>-</v>
      </c>
      <c r="CX150" s="1">
        <f>SUM(CP150,CR150,CS150,Table7[[#This Row],[T1PKS, T3PKS]])</f>
        <v>0</v>
      </c>
      <c r="CY150" s="1">
        <f t="shared" si="2"/>
        <v>0</v>
      </c>
      <c r="CZ150" s="1">
        <f>Table7[[#This Row],[Terpene]]</f>
        <v>1</v>
      </c>
      <c r="DA150" s="1">
        <f>SUM(Table7[[#This Row],[Thiopeptide]],BH150,BF150,BE150,BC150,AZ150,AX150,AW150,AJ150,AH150,N150,L150,J150,H150,I150,K150,R150,Q150,Table7[[#This Row],[Cyanobactin, LAP]])</f>
        <v>4</v>
      </c>
      <c r="DB150" s="1">
        <f>SUM(CO150,CN150,CL150,CK150,CJ150,CI150,CH150,CF150,CE150,CD150,CB150,CA150,BZ150,BY150,BX150,BW150,BV150,BT150,BR150,BQ150,BP150,BO150,BM150,BK150,BJ150,BI150,BG150,BD150,BB150,BA150,AY150,AV150,AU150,AT150,AS150,AR150,AQ150,AP150,AO150,AN150,AM150,AL150,AK150,AG150,AF150,AE150,AD150,AC150,AB150,AA150,Z150,Y150,X150,W150,V150,U150,T150,S150,P150,O150,M150,Table7[[#This Row],[Acyl_amino_acids]],E150,F150,G150,)</f>
        <v>2</v>
      </c>
    </row>
    <row r="151" spans="1:106" x14ac:dyDescent="0.25">
      <c r="A151" s="9" t="s">
        <v>765</v>
      </c>
      <c r="B151" s="1" t="s">
        <v>435</v>
      </c>
      <c r="C151" s="1" t="s">
        <v>385</v>
      </c>
      <c r="D151" s="3" t="s">
        <v>192</v>
      </c>
      <c r="E151" s="3" t="s">
        <v>192</v>
      </c>
      <c r="F151" s="3" t="s">
        <v>192</v>
      </c>
      <c r="G151" s="3" t="s">
        <v>192</v>
      </c>
      <c r="H151" s="3" t="s">
        <v>192</v>
      </c>
      <c r="I151" s="3" t="s">
        <v>192</v>
      </c>
      <c r="J151" s="3" t="s">
        <v>192</v>
      </c>
      <c r="K151" s="3" t="s">
        <v>192</v>
      </c>
      <c r="L151" s="3" t="s">
        <v>192</v>
      </c>
      <c r="M151" s="3" t="s">
        <v>192</v>
      </c>
      <c r="N151" s="3" t="s">
        <v>192</v>
      </c>
      <c r="O151" s="3" t="s">
        <v>192</v>
      </c>
      <c r="P151" s="3" t="s">
        <v>192</v>
      </c>
      <c r="Q151" s="3" t="s">
        <v>192</v>
      </c>
      <c r="R151" s="3" t="s">
        <v>192</v>
      </c>
      <c r="S151" s="3" t="s">
        <v>192</v>
      </c>
      <c r="T151" s="3" t="s">
        <v>192</v>
      </c>
      <c r="U151" s="3" t="s">
        <v>192</v>
      </c>
      <c r="V151" s="3" t="s">
        <v>192</v>
      </c>
      <c r="W151" s="3" t="s">
        <v>192</v>
      </c>
      <c r="X151" s="3" t="s">
        <v>192</v>
      </c>
      <c r="Y151" s="3" t="s">
        <v>192</v>
      </c>
      <c r="Z151" s="3" t="s">
        <v>192</v>
      </c>
      <c r="AA151" s="3" t="s">
        <v>192</v>
      </c>
      <c r="AB151" s="3" t="s">
        <v>192</v>
      </c>
      <c r="AC151" s="3" t="s">
        <v>192</v>
      </c>
      <c r="AD151" s="3" t="s">
        <v>192</v>
      </c>
      <c r="AE151" s="3" t="s">
        <v>192</v>
      </c>
      <c r="AF151" s="3" t="s">
        <v>192</v>
      </c>
      <c r="AG151" s="3" t="s">
        <v>192</v>
      </c>
      <c r="AH151" s="3" t="s">
        <v>192</v>
      </c>
      <c r="AI151" s="3" t="s">
        <v>192</v>
      </c>
      <c r="AJ151" s="3" t="s">
        <v>192</v>
      </c>
      <c r="AK151" s="3" t="s">
        <v>192</v>
      </c>
      <c r="AL151" s="3" t="s">
        <v>192</v>
      </c>
      <c r="AM151" s="3" t="s">
        <v>192</v>
      </c>
      <c r="AN151" s="3" t="s">
        <v>192</v>
      </c>
      <c r="AO151" s="3" t="s">
        <v>192</v>
      </c>
      <c r="AP151" s="3" t="s">
        <v>192</v>
      </c>
      <c r="AQ151" s="3" t="s">
        <v>192</v>
      </c>
      <c r="AR151" s="3" t="s">
        <v>192</v>
      </c>
      <c r="AS151" s="3" t="s">
        <v>192</v>
      </c>
      <c r="AT151" s="3" t="s">
        <v>192</v>
      </c>
      <c r="AU151" s="3" t="s">
        <v>192</v>
      </c>
      <c r="AV151" s="3" t="s">
        <v>192</v>
      </c>
      <c r="AW151" s="3" t="s">
        <v>192</v>
      </c>
      <c r="AX151" s="3" t="s">
        <v>192</v>
      </c>
      <c r="AY151" s="3" t="s">
        <v>192</v>
      </c>
      <c r="AZ151" s="3" t="s">
        <v>192</v>
      </c>
      <c r="BA151" s="3" t="s">
        <v>192</v>
      </c>
      <c r="BB151" s="3" t="s">
        <v>192</v>
      </c>
      <c r="BC151" s="3" t="s">
        <v>192</v>
      </c>
      <c r="BD151" s="3" t="s">
        <v>192</v>
      </c>
      <c r="BE151" s="3" t="s">
        <v>192</v>
      </c>
      <c r="BF151" s="3" t="s">
        <v>192</v>
      </c>
      <c r="BG151" s="3" t="s">
        <v>192</v>
      </c>
      <c r="BH151" s="3" t="s">
        <v>192</v>
      </c>
      <c r="BI151" s="3" t="s">
        <v>192</v>
      </c>
      <c r="BJ151" s="3" t="s">
        <v>192</v>
      </c>
      <c r="BK151" s="3" t="s">
        <v>192</v>
      </c>
      <c r="BL151" s="3">
        <v>1</v>
      </c>
      <c r="BM151" s="3" t="s">
        <v>192</v>
      </c>
      <c r="BN151" s="3" t="s">
        <v>192</v>
      </c>
      <c r="BO151" s="3" t="s">
        <v>192</v>
      </c>
      <c r="BP151" s="3" t="s">
        <v>192</v>
      </c>
      <c r="BQ151" s="3" t="s">
        <v>192</v>
      </c>
      <c r="BR151" s="3" t="s">
        <v>192</v>
      </c>
      <c r="BS151" s="3">
        <v>1</v>
      </c>
      <c r="BT151" s="3" t="s">
        <v>192</v>
      </c>
      <c r="BU151" s="3" t="s">
        <v>192</v>
      </c>
      <c r="BV151" s="3" t="s">
        <v>192</v>
      </c>
      <c r="BW151" s="3" t="s">
        <v>192</v>
      </c>
      <c r="BX151" s="3" t="s">
        <v>192</v>
      </c>
      <c r="BY151" s="3" t="s">
        <v>192</v>
      </c>
      <c r="BZ151" s="3" t="s">
        <v>192</v>
      </c>
      <c r="CA151" s="3" t="s">
        <v>192</v>
      </c>
      <c r="CB151" s="3" t="s">
        <v>192</v>
      </c>
      <c r="CC151" s="3" t="s">
        <v>192</v>
      </c>
      <c r="CD151" s="3" t="s">
        <v>192</v>
      </c>
      <c r="CE151" s="3" t="s">
        <v>192</v>
      </c>
      <c r="CF151" s="3" t="s">
        <v>192</v>
      </c>
      <c r="CG151" s="3">
        <v>1</v>
      </c>
      <c r="CH151" s="3" t="s">
        <v>192</v>
      </c>
      <c r="CI151" s="3" t="s">
        <v>192</v>
      </c>
      <c r="CJ151" s="3" t="s">
        <v>192</v>
      </c>
      <c r="CK151" s="3" t="s">
        <v>192</v>
      </c>
      <c r="CL151" s="3" t="s">
        <v>192</v>
      </c>
      <c r="CM151" s="3" t="s">
        <v>192</v>
      </c>
      <c r="CN151" s="3" t="s">
        <v>192</v>
      </c>
      <c r="CO151" s="3" t="s">
        <v>192</v>
      </c>
      <c r="CP151" s="3" t="s">
        <v>192</v>
      </c>
      <c r="CQ151" s="3" t="s">
        <v>192</v>
      </c>
      <c r="CR151" s="3" t="s">
        <v>192</v>
      </c>
      <c r="CS151" s="3" t="s">
        <v>192</v>
      </c>
      <c r="CT151" s="1">
        <f>SUM(Table7[[#This Row],[Acyl_amino_acids]:[T3PKS]])</f>
        <v>3</v>
      </c>
      <c r="CU151" s="3" t="s">
        <v>192</v>
      </c>
      <c r="CW151" s="1">
        <f>Table7[[#This Row],[NRPS]]</f>
        <v>1</v>
      </c>
      <c r="CX151" s="1">
        <f>SUM(CP151,CR151,CS151,Table7[[#This Row],[T1PKS, T3PKS]])</f>
        <v>0</v>
      </c>
      <c r="CY151" s="1">
        <f t="shared" si="2"/>
        <v>1</v>
      </c>
      <c r="CZ151" s="1">
        <f>Table7[[#This Row],[Terpene]]</f>
        <v>1</v>
      </c>
      <c r="DA151" s="1">
        <f>SUM(Table7[[#This Row],[Thiopeptide]],BH151,BF151,BE151,BC151,AZ151,AX151,AW151,AJ151,AH151,N151,L151,J151,H151,I151,K151,R151,Q151,Table7[[#This Row],[Cyanobactin, LAP]])</f>
        <v>0</v>
      </c>
      <c r="DB151" s="1">
        <f>SUM(CO151,CN151,CL151,CK151,CJ151,CI151,CH151,CF151,CE151,CD151,CB151,CA151,BZ151,BY151,BX151,BW151,BV151,BT151,BR151,BQ151,BP151,BO151,BM151,BK151,BJ151,BI151,BG151,BD151,BB151,BA151,AY151,AV151,AU151,AT151,AS151,AR151,AQ151,AP151,AO151,AN151,AM151,AL151,AK151,AG151,AF151,AE151,AD151,AC151,AB151,AA151,Z151,Y151,X151,W151,V151,U151,T151,S151,P151,O151,M151,Table7[[#This Row],[Acyl_amino_acids]],E151,F151,G151,)</f>
        <v>0</v>
      </c>
    </row>
    <row r="152" spans="1:106" x14ac:dyDescent="0.25">
      <c r="A152" s="9" t="s">
        <v>663</v>
      </c>
      <c r="B152" s="1" t="s">
        <v>435</v>
      </c>
      <c r="C152" s="1" t="s">
        <v>598</v>
      </c>
      <c r="D152" s="3" t="s">
        <v>192</v>
      </c>
      <c r="E152" s="3" t="s">
        <v>192</v>
      </c>
      <c r="F152" s="3" t="s">
        <v>192</v>
      </c>
      <c r="G152" s="3" t="s">
        <v>192</v>
      </c>
      <c r="H152" s="3" t="s">
        <v>192</v>
      </c>
      <c r="I152" s="3" t="s">
        <v>192</v>
      </c>
      <c r="J152" s="3" t="s">
        <v>192</v>
      </c>
      <c r="K152" s="3" t="s">
        <v>192</v>
      </c>
      <c r="L152" s="3" t="s">
        <v>192</v>
      </c>
      <c r="M152" s="3" t="s">
        <v>192</v>
      </c>
      <c r="N152" s="3" t="s">
        <v>192</v>
      </c>
      <c r="O152" s="3" t="s">
        <v>192</v>
      </c>
      <c r="P152" s="3" t="s">
        <v>192</v>
      </c>
      <c r="Q152" s="3" t="s">
        <v>192</v>
      </c>
      <c r="R152" s="3" t="s">
        <v>192</v>
      </c>
      <c r="S152" s="3" t="s">
        <v>192</v>
      </c>
      <c r="T152" s="3" t="s">
        <v>192</v>
      </c>
      <c r="U152" s="3" t="s">
        <v>192</v>
      </c>
      <c r="V152" s="3" t="s">
        <v>192</v>
      </c>
      <c r="W152" s="3" t="s">
        <v>192</v>
      </c>
      <c r="X152" s="3" t="s">
        <v>192</v>
      </c>
      <c r="Y152" s="3" t="s">
        <v>192</v>
      </c>
      <c r="Z152" s="3" t="s">
        <v>192</v>
      </c>
      <c r="AA152" s="3" t="s">
        <v>192</v>
      </c>
      <c r="AB152" s="3" t="s">
        <v>192</v>
      </c>
      <c r="AC152" s="3" t="s">
        <v>192</v>
      </c>
      <c r="AD152" s="3" t="s">
        <v>192</v>
      </c>
      <c r="AE152" s="3" t="s">
        <v>192</v>
      </c>
      <c r="AF152" s="3" t="s">
        <v>192</v>
      </c>
      <c r="AG152" s="3" t="s">
        <v>192</v>
      </c>
      <c r="AH152" s="3" t="s">
        <v>192</v>
      </c>
      <c r="AI152" s="3" t="s">
        <v>192</v>
      </c>
      <c r="AJ152" s="3" t="s">
        <v>192</v>
      </c>
      <c r="AK152" s="3" t="s">
        <v>192</v>
      </c>
      <c r="AL152" s="3" t="s">
        <v>192</v>
      </c>
      <c r="AM152" s="3" t="s">
        <v>192</v>
      </c>
      <c r="AN152" s="3" t="s">
        <v>192</v>
      </c>
      <c r="AO152" s="3" t="s">
        <v>192</v>
      </c>
      <c r="AP152" s="3" t="s">
        <v>192</v>
      </c>
      <c r="AQ152" s="3" t="s">
        <v>192</v>
      </c>
      <c r="AR152" s="3" t="s">
        <v>192</v>
      </c>
      <c r="AS152" s="3" t="s">
        <v>192</v>
      </c>
      <c r="AT152" s="3" t="s">
        <v>192</v>
      </c>
      <c r="AU152" s="3" t="s">
        <v>192</v>
      </c>
      <c r="AV152" s="3" t="s">
        <v>192</v>
      </c>
      <c r="AW152" s="3" t="s">
        <v>192</v>
      </c>
      <c r="AX152" s="3" t="s">
        <v>192</v>
      </c>
      <c r="AY152" s="3" t="s">
        <v>192</v>
      </c>
      <c r="AZ152" s="3" t="s">
        <v>192</v>
      </c>
      <c r="BA152" s="3" t="s">
        <v>192</v>
      </c>
      <c r="BB152" s="3" t="s">
        <v>192</v>
      </c>
      <c r="BC152" s="3" t="s">
        <v>192</v>
      </c>
      <c r="BD152" s="3" t="s">
        <v>192</v>
      </c>
      <c r="BE152" s="3" t="s">
        <v>192</v>
      </c>
      <c r="BF152" s="3" t="s">
        <v>192</v>
      </c>
      <c r="BG152" s="3" t="s">
        <v>192</v>
      </c>
      <c r="BH152" s="3" t="s">
        <v>192</v>
      </c>
      <c r="BI152" s="3" t="s">
        <v>192</v>
      </c>
      <c r="BJ152" s="3" t="s">
        <v>192</v>
      </c>
      <c r="BK152" s="3" t="s">
        <v>192</v>
      </c>
      <c r="BL152" s="3">
        <v>1</v>
      </c>
      <c r="BM152" s="3" t="s">
        <v>192</v>
      </c>
      <c r="BN152" s="3" t="s">
        <v>192</v>
      </c>
      <c r="BO152" s="3" t="s">
        <v>192</v>
      </c>
      <c r="BP152" s="3" t="s">
        <v>192</v>
      </c>
      <c r="BQ152" s="3" t="s">
        <v>192</v>
      </c>
      <c r="BR152" s="3" t="s">
        <v>192</v>
      </c>
      <c r="BS152" s="3">
        <v>1</v>
      </c>
      <c r="BT152" s="3" t="s">
        <v>192</v>
      </c>
      <c r="BU152" s="3" t="s">
        <v>192</v>
      </c>
      <c r="BV152" s="3" t="s">
        <v>192</v>
      </c>
      <c r="BW152" s="3" t="s">
        <v>192</v>
      </c>
      <c r="BX152" s="3" t="s">
        <v>192</v>
      </c>
      <c r="BY152" s="3" t="s">
        <v>192</v>
      </c>
      <c r="BZ152" s="3" t="s">
        <v>192</v>
      </c>
      <c r="CA152" s="3" t="s">
        <v>192</v>
      </c>
      <c r="CB152" s="3" t="s">
        <v>192</v>
      </c>
      <c r="CC152" s="3" t="s">
        <v>192</v>
      </c>
      <c r="CD152" s="3" t="s">
        <v>192</v>
      </c>
      <c r="CE152" s="3" t="s">
        <v>192</v>
      </c>
      <c r="CF152" s="3" t="s">
        <v>192</v>
      </c>
      <c r="CG152" s="3">
        <v>1</v>
      </c>
      <c r="CH152" s="3" t="s">
        <v>192</v>
      </c>
      <c r="CI152" s="3" t="s">
        <v>192</v>
      </c>
      <c r="CJ152" s="3" t="s">
        <v>192</v>
      </c>
      <c r="CK152" s="3" t="s">
        <v>192</v>
      </c>
      <c r="CL152" s="3" t="s">
        <v>192</v>
      </c>
      <c r="CM152" s="3" t="s">
        <v>192</v>
      </c>
      <c r="CN152" s="3" t="s">
        <v>192</v>
      </c>
      <c r="CO152" s="3" t="s">
        <v>192</v>
      </c>
      <c r="CP152" s="3" t="s">
        <v>192</v>
      </c>
      <c r="CQ152" s="3" t="s">
        <v>192</v>
      </c>
      <c r="CR152" s="3" t="s">
        <v>192</v>
      </c>
      <c r="CS152" s="3" t="s">
        <v>192</v>
      </c>
      <c r="CT152" s="1">
        <f>SUM(Table7[[#This Row],[Acyl_amino_acids]:[T3PKS]])</f>
        <v>3</v>
      </c>
      <c r="CU152" s="3" t="s">
        <v>192</v>
      </c>
      <c r="CW152" s="1">
        <f>Table7[[#This Row],[NRPS]]</f>
        <v>1</v>
      </c>
      <c r="CX152" s="1">
        <f>SUM(CP152,CR152,CS152,Table7[[#This Row],[T1PKS, T3PKS]])</f>
        <v>0</v>
      </c>
      <c r="CY152" s="1">
        <f t="shared" si="2"/>
        <v>1</v>
      </c>
      <c r="CZ152" s="1">
        <f>Table7[[#This Row],[Terpene]]</f>
        <v>1</v>
      </c>
      <c r="DA152" s="1">
        <f>SUM(Table7[[#This Row],[Thiopeptide]],BH152,BF152,BE152,BC152,AZ152,AX152,AW152,AJ152,AH152,N152,L152,J152,H152,I152,K152,R152,Q152,Table7[[#This Row],[Cyanobactin, LAP]])</f>
        <v>0</v>
      </c>
      <c r="DB152" s="1">
        <f>SUM(CO152,CN152,CL152,CK152,CJ152,CI152,CH152,CF152,CE152,CD152,CB152,CA152,BZ152,BY152,BX152,BW152,BV152,BT152,BR152,BQ152,BP152,BO152,BM152,BK152,BJ152,BI152,BG152,BD152,BB152,BA152,AY152,AV152,AU152,AT152,AS152,AR152,AQ152,AP152,AO152,AN152,AM152,AL152,AK152,AG152,AF152,AE152,AD152,AC152,AB152,AA152,Z152,Y152,X152,W152,V152,U152,T152,S152,P152,O152,M152,Table7[[#This Row],[Acyl_amino_acids]],E152,F152,G152,)</f>
        <v>0</v>
      </c>
    </row>
    <row r="153" spans="1:106" x14ac:dyDescent="0.25">
      <c r="A153" s="9" t="s">
        <v>708</v>
      </c>
      <c r="B153" s="1" t="s">
        <v>435</v>
      </c>
      <c r="C153" s="1" t="s">
        <v>495</v>
      </c>
      <c r="D153" s="1" t="s">
        <v>192</v>
      </c>
      <c r="E153" s="1" t="s">
        <v>192</v>
      </c>
      <c r="F153" s="3" t="s">
        <v>192</v>
      </c>
      <c r="G153" s="3" t="s">
        <v>192</v>
      </c>
      <c r="H153" s="3" t="s">
        <v>192</v>
      </c>
      <c r="I153" s="3" t="s">
        <v>192</v>
      </c>
      <c r="J153" s="3" t="s">
        <v>192</v>
      </c>
      <c r="K153" s="3" t="s">
        <v>192</v>
      </c>
      <c r="L153" s="3" t="s">
        <v>192</v>
      </c>
      <c r="M153" s="3" t="s">
        <v>192</v>
      </c>
      <c r="N153" s="3" t="s">
        <v>192</v>
      </c>
      <c r="O153" s="3" t="s">
        <v>192</v>
      </c>
      <c r="P153" s="3" t="s">
        <v>192</v>
      </c>
      <c r="Q153" s="3" t="s">
        <v>192</v>
      </c>
      <c r="R153" s="3" t="s">
        <v>192</v>
      </c>
      <c r="S153" s="3" t="s">
        <v>192</v>
      </c>
      <c r="T153" s="3" t="s">
        <v>192</v>
      </c>
      <c r="U153" s="3" t="s">
        <v>192</v>
      </c>
      <c r="V153" s="3" t="s">
        <v>192</v>
      </c>
      <c r="W153" s="3" t="s">
        <v>192</v>
      </c>
      <c r="X153" s="3" t="s">
        <v>192</v>
      </c>
      <c r="Y153" s="3" t="s">
        <v>192</v>
      </c>
      <c r="Z153" s="3" t="s">
        <v>192</v>
      </c>
      <c r="AA153" s="3" t="s">
        <v>192</v>
      </c>
      <c r="AB153" s="3" t="s">
        <v>192</v>
      </c>
      <c r="AC153" s="3" t="s">
        <v>192</v>
      </c>
      <c r="AD153" s="3" t="s">
        <v>192</v>
      </c>
      <c r="AE153" s="3" t="s">
        <v>192</v>
      </c>
      <c r="AF153" s="3" t="s">
        <v>192</v>
      </c>
      <c r="AG153" s="3" t="s">
        <v>192</v>
      </c>
      <c r="AH153" s="3" t="s">
        <v>192</v>
      </c>
      <c r="AI153" s="3" t="s">
        <v>192</v>
      </c>
      <c r="AJ153" s="3" t="s">
        <v>192</v>
      </c>
      <c r="AK153" s="3" t="s">
        <v>192</v>
      </c>
      <c r="AL153" s="3" t="s">
        <v>192</v>
      </c>
      <c r="AM153" s="3" t="s">
        <v>192</v>
      </c>
      <c r="AN153" s="3" t="s">
        <v>192</v>
      </c>
      <c r="AO153" s="3" t="s">
        <v>192</v>
      </c>
      <c r="AP153" s="3" t="s">
        <v>192</v>
      </c>
      <c r="AQ153" s="3" t="s">
        <v>192</v>
      </c>
      <c r="AR153" s="3" t="s">
        <v>192</v>
      </c>
      <c r="AS153" s="3" t="s">
        <v>192</v>
      </c>
      <c r="AT153" s="3" t="s">
        <v>192</v>
      </c>
      <c r="AU153" s="3" t="s">
        <v>192</v>
      </c>
      <c r="AV153" s="3" t="s">
        <v>192</v>
      </c>
      <c r="AW153" s="3" t="s">
        <v>192</v>
      </c>
      <c r="AX153" s="3" t="s">
        <v>192</v>
      </c>
      <c r="AY153" s="3" t="s">
        <v>192</v>
      </c>
      <c r="AZ153" s="3" t="s">
        <v>192</v>
      </c>
      <c r="BA153" s="3" t="s">
        <v>192</v>
      </c>
      <c r="BB153" s="3" t="s">
        <v>192</v>
      </c>
      <c r="BC153" s="3" t="s">
        <v>192</v>
      </c>
      <c r="BD153" s="3" t="s">
        <v>192</v>
      </c>
      <c r="BE153" s="3" t="s">
        <v>192</v>
      </c>
      <c r="BF153" s="3" t="s">
        <v>192</v>
      </c>
      <c r="BG153" s="3" t="s">
        <v>192</v>
      </c>
      <c r="BH153" s="3" t="s">
        <v>192</v>
      </c>
      <c r="BI153" s="3" t="s">
        <v>192</v>
      </c>
      <c r="BJ153" s="3" t="s">
        <v>192</v>
      </c>
      <c r="BK153" s="3" t="s">
        <v>192</v>
      </c>
      <c r="BL153" s="3" t="s">
        <v>192</v>
      </c>
      <c r="BM153" s="3" t="s">
        <v>192</v>
      </c>
      <c r="BN153" s="3" t="s">
        <v>192</v>
      </c>
      <c r="BO153" s="3" t="s">
        <v>192</v>
      </c>
      <c r="BP153" s="3" t="s">
        <v>192</v>
      </c>
      <c r="BQ153" s="3" t="s">
        <v>192</v>
      </c>
      <c r="BR153" s="3" t="s">
        <v>192</v>
      </c>
      <c r="BS153" s="3" t="s">
        <v>192</v>
      </c>
      <c r="BT153" s="3" t="s">
        <v>192</v>
      </c>
      <c r="BU153" s="3" t="s">
        <v>192</v>
      </c>
      <c r="BV153" s="3" t="s">
        <v>192</v>
      </c>
      <c r="BW153" s="3" t="s">
        <v>192</v>
      </c>
      <c r="BX153" s="3" t="s">
        <v>192</v>
      </c>
      <c r="BY153" s="3" t="s">
        <v>192</v>
      </c>
      <c r="BZ153" s="3" t="s">
        <v>192</v>
      </c>
      <c r="CA153" s="3" t="s">
        <v>192</v>
      </c>
      <c r="CB153" s="3" t="s">
        <v>192</v>
      </c>
      <c r="CC153" s="3" t="s">
        <v>192</v>
      </c>
      <c r="CD153" s="3" t="s">
        <v>192</v>
      </c>
      <c r="CE153" s="3" t="s">
        <v>192</v>
      </c>
      <c r="CF153" s="3" t="s">
        <v>192</v>
      </c>
      <c r="CG153" s="3">
        <v>3</v>
      </c>
      <c r="CH153" s="3" t="s">
        <v>192</v>
      </c>
      <c r="CI153" s="3" t="s">
        <v>192</v>
      </c>
      <c r="CJ153" s="3" t="s">
        <v>192</v>
      </c>
      <c r="CK153" s="3" t="s">
        <v>192</v>
      </c>
      <c r="CL153" s="3" t="s">
        <v>192</v>
      </c>
      <c r="CM153" s="3" t="s">
        <v>192</v>
      </c>
      <c r="CN153" s="3" t="s">
        <v>192</v>
      </c>
      <c r="CO153" s="3" t="s">
        <v>192</v>
      </c>
      <c r="CP153" s="3" t="s">
        <v>192</v>
      </c>
      <c r="CQ153" s="3" t="s">
        <v>192</v>
      </c>
      <c r="CR153" s="3" t="s">
        <v>192</v>
      </c>
      <c r="CS153" s="3" t="s">
        <v>192</v>
      </c>
      <c r="CT153" s="1">
        <f>SUM(Table7[[#This Row],[Acyl_amino_acids]:[T3PKS]])</f>
        <v>3</v>
      </c>
      <c r="CU153" s="3" t="s">
        <v>192</v>
      </c>
      <c r="CW153" s="1" t="str">
        <f>Table7[[#This Row],[NRPS]]</f>
        <v>-</v>
      </c>
      <c r="CX153" s="1">
        <f>SUM(CP153,CR153,CS153,Table7[[#This Row],[T1PKS, T3PKS]])</f>
        <v>0</v>
      </c>
      <c r="CY153" s="1">
        <f t="shared" si="2"/>
        <v>0</v>
      </c>
      <c r="CZ153" s="1">
        <f>Table7[[#This Row],[Terpene]]</f>
        <v>3</v>
      </c>
      <c r="DA153" s="1">
        <f>SUM(Table7[[#This Row],[Thiopeptide]],BH153,BF153,BE153,BC153,AZ153,AX153,AW153,AJ153,AH153,N153,L153,J153,H153,I153,K153,R153,Q153,Table7[[#This Row],[Cyanobactin, LAP]])</f>
        <v>0</v>
      </c>
      <c r="DB153" s="1">
        <f>SUM(CO153,CN153,CL153,CK153,CJ153,CI153,CH153,CF153,CE153,CD153,CB153,CA153,BZ153,BY153,BX153,BW153,BV153,BT153,BR153,BQ153,BP153,BO153,BM153,BK153,BJ153,BI153,BG153,BD153,BB153,BA153,AY153,AV153,AU153,AT153,AS153,AR153,AQ153,AP153,AO153,AN153,AM153,AL153,AK153,AG153,AF153,AE153,AD153,AC153,AB153,AA153,Z153,Y153,X153,W153,V153,U153,T153,S153,P153,O153,M153,Table7[[#This Row],[Acyl_amino_acids]],E153,F153,G153,)</f>
        <v>0</v>
      </c>
    </row>
    <row r="154" spans="1:106" x14ac:dyDescent="0.25">
      <c r="A154" s="9" t="s">
        <v>630</v>
      </c>
      <c r="B154" s="1" t="s">
        <v>435</v>
      </c>
      <c r="C154" s="1" t="s">
        <v>386</v>
      </c>
      <c r="D154" s="1" t="s">
        <v>192</v>
      </c>
      <c r="E154" s="1" t="s">
        <v>192</v>
      </c>
      <c r="F154" s="1" t="s">
        <v>192</v>
      </c>
      <c r="G154" s="1" t="s">
        <v>192</v>
      </c>
      <c r="H154" s="1" t="s">
        <v>192</v>
      </c>
      <c r="I154" s="1" t="s">
        <v>192</v>
      </c>
      <c r="J154" s="1" t="s">
        <v>192</v>
      </c>
      <c r="K154" s="1" t="s">
        <v>192</v>
      </c>
      <c r="L154" s="1" t="s">
        <v>192</v>
      </c>
      <c r="M154" s="1" t="s">
        <v>192</v>
      </c>
      <c r="N154" s="1" t="s">
        <v>192</v>
      </c>
      <c r="O154" s="1" t="s">
        <v>192</v>
      </c>
      <c r="P154" s="1" t="s">
        <v>192</v>
      </c>
      <c r="Q154" s="1" t="s">
        <v>192</v>
      </c>
      <c r="R154" s="1" t="s">
        <v>192</v>
      </c>
      <c r="S154" s="1" t="s">
        <v>192</v>
      </c>
      <c r="T154" s="1" t="s">
        <v>192</v>
      </c>
      <c r="U154" s="1" t="s">
        <v>192</v>
      </c>
      <c r="V154" s="1" t="s">
        <v>192</v>
      </c>
      <c r="W154" s="1" t="s">
        <v>192</v>
      </c>
      <c r="X154" s="1" t="s">
        <v>192</v>
      </c>
      <c r="Y154" s="1" t="s">
        <v>192</v>
      </c>
      <c r="Z154" s="1" t="s">
        <v>192</v>
      </c>
      <c r="AA154" s="1" t="s">
        <v>192</v>
      </c>
      <c r="AB154" s="1" t="s">
        <v>192</v>
      </c>
      <c r="AC154" s="1" t="s">
        <v>192</v>
      </c>
      <c r="AD154" s="1" t="s">
        <v>192</v>
      </c>
      <c r="AE154" s="1" t="s">
        <v>192</v>
      </c>
      <c r="AF154" s="1" t="s">
        <v>192</v>
      </c>
      <c r="AG154" s="1" t="s">
        <v>192</v>
      </c>
      <c r="AH154" s="1" t="s">
        <v>192</v>
      </c>
      <c r="AI154" s="1" t="s">
        <v>192</v>
      </c>
      <c r="AJ154" s="1" t="s">
        <v>192</v>
      </c>
      <c r="AK154" s="1" t="s">
        <v>192</v>
      </c>
      <c r="AL154" s="1" t="s">
        <v>192</v>
      </c>
      <c r="AM154" s="1" t="s">
        <v>192</v>
      </c>
      <c r="AN154" s="1" t="s">
        <v>192</v>
      </c>
      <c r="AO154" s="1" t="s">
        <v>192</v>
      </c>
      <c r="AP154" s="1" t="s">
        <v>192</v>
      </c>
      <c r="AQ154" s="1" t="s">
        <v>192</v>
      </c>
      <c r="AR154" s="1" t="s">
        <v>192</v>
      </c>
      <c r="AS154" s="1" t="s">
        <v>192</v>
      </c>
      <c r="AT154" s="1" t="s">
        <v>192</v>
      </c>
      <c r="AU154" s="1" t="s">
        <v>192</v>
      </c>
      <c r="AV154" s="1" t="s">
        <v>192</v>
      </c>
      <c r="AW154" s="1" t="s">
        <v>192</v>
      </c>
      <c r="AX154" s="1" t="s">
        <v>192</v>
      </c>
      <c r="AY154" s="1" t="s">
        <v>192</v>
      </c>
      <c r="AZ154" s="1" t="s">
        <v>192</v>
      </c>
      <c r="BA154" s="1" t="s">
        <v>192</v>
      </c>
      <c r="BB154" s="1" t="s">
        <v>192</v>
      </c>
      <c r="BC154" s="1" t="s">
        <v>192</v>
      </c>
      <c r="BD154" s="1" t="s">
        <v>192</v>
      </c>
      <c r="BE154" s="1" t="s">
        <v>192</v>
      </c>
      <c r="BF154" s="1" t="s">
        <v>192</v>
      </c>
      <c r="BG154" s="1" t="s">
        <v>192</v>
      </c>
      <c r="BH154" s="1" t="s">
        <v>192</v>
      </c>
      <c r="BI154" s="1" t="s">
        <v>192</v>
      </c>
      <c r="BJ154" s="1" t="s">
        <v>192</v>
      </c>
      <c r="BK154" s="1" t="s">
        <v>192</v>
      </c>
      <c r="BL154" s="1">
        <v>1</v>
      </c>
      <c r="BM154" s="1" t="s">
        <v>192</v>
      </c>
      <c r="BN154" s="1" t="s">
        <v>192</v>
      </c>
      <c r="BO154" s="1" t="s">
        <v>192</v>
      </c>
      <c r="BP154" s="1" t="s">
        <v>192</v>
      </c>
      <c r="BQ154" s="1" t="s">
        <v>192</v>
      </c>
      <c r="BR154" s="1" t="s">
        <v>192</v>
      </c>
      <c r="BS154" s="1">
        <v>1</v>
      </c>
      <c r="BT154" s="1" t="s">
        <v>192</v>
      </c>
      <c r="BU154" s="1" t="s">
        <v>192</v>
      </c>
      <c r="BV154" s="1" t="s">
        <v>192</v>
      </c>
      <c r="BW154" s="1" t="s">
        <v>192</v>
      </c>
      <c r="BX154" s="1" t="s">
        <v>192</v>
      </c>
      <c r="BY154" s="1" t="s">
        <v>192</v>
      </c>
      <c r="BZ154" s="1" t="s">
        <v>192</v>
      </c>
      <c r="CA154" s="1" t="s">
        <v>192</v>
      </c>
      <c r="CB154" s="1" t="s">
        <v>192</v>
      </c>
      <c r="CC154" s="1" t="s">
        <v>192</v>
      </c>
      <c r="CD154" s="1" t="s">
        <v>192</v>
      </c>
      <c r="CE154" s="1" t="s">
        <v>192</v>
      </c>
      <c r="CF154" s="1" t="s">
        <v>192</v>
      </c>
      <c r="CG154" s="1">
        <v>1</v>
      </c>
      <c r="CH154" s="1" t="s">
        <v>192</v>
      </c>
      <c r="CI154" s="1" t="s">
        <v>192</v>
      </c>
      <c r="CJ154" s="1" t="s">
        <v>192</v>
      </c>
      <c r="CK154" s="1" t="s">
        <v>192</v>
      </c>
      <c r="CL154" s="1" t="s">
        <v>192</v>
      </c>
      <c r="CM154" s="1" t="s">
        <v>192</v>
      </c>
      <c r="CN154" s="1" t="s">
        <v>192</v>
      </c>
      <c r="CO154" s="1" t="s">
        <v>192</v>
      </c>
      <c r="CP154" s="1" t="s">
        <v>192</v>
      </c>
      <c r="CQ154" s="1" t="s">
        <v>192</v>
      </c>
      <c r="CR154" s="1" t="s">
        <v>192</v>
      </c>
      <c r="CS154" s="1" t="s">
        <v>192</v>
      </c>
      <c r="CT154" s="1">
        <f>SUM(Table7[[#This Row],[Acyl_amino_acids]:[T3PKS]])</f>
        <v>3</v>
      </c>
      <c r="CU154" s="1" t="s">
        <v>192</v>
      </c>
      <c r="CW154" s="1">
        <f>Table7[[#This Row],[NRPS]]</f>
        <v>1</v>
      </c>
      <c r="CX154" s="1">
        <f>SUM(CP154,CR154,CS154,Table7[[#This Row],[T1PKS, T3PKS]])</f>
        <v>0</v>
      </c>
      <c r="CY154" s="1">
        <f t="shared" si="2"/>
        <v>1</v>
      </c>
      <c r="CZ154" s="1">
        <f>Table7[[#This Row],[Terpene]]</f>
        <v>1</v>
      </c>
      <c r="DA154" s="1">
        <f>SUM(Table7[[#This Row],[Thiopeptide]],BH154,BF154,BE154,BC154,AZ154,AX154,AW154,AJ154,AH154,N154,L154,J154,H154,I154,K154,R154,Q154,Table7[[#This Row],[Cyanobactin, LAP]])</f>
        <v>0</v>
      </c>
      <c r="DB154" s="1">
        <f>SUM(CO154,CN154,CL154,CK154,CJ154,CI154,CH154,CF154,CE154,CD154,CB154,CA154,BZ154,BY154,BX154,BW154,BV154,BT154,BR154,BQ154,BP154,BO154,BM154,BK154,BJ154,BI154,BG154,BD154,BB154,BA154,AY154,AV154,AU154,AT154,AS154,AR154,AQ154,AP154,AO154,AN154,AM154,AL154,AK154,AG154,AF154,AE154,AD154,AC154,AB154,AA154,Z154,Y154,X154,W154,V154,U154,T154,S154,P154,O154,M154,Table7[[#This Row],[Acyl_amino_acids]],E154,F154,G154,)</f>
        <v>0</v>
      </c>
    </row>
    <row r="155" spans="1:106" x14ac:dyDescent="0.25">
      <c r="A155" s="9" t="s">
        <v>756</v>
      </c>
      <c r="B155" s="1" t="s">
        <v>435</v>
      </c>
      <c r="C155" s="1" t="s">
        <v>388</v>
      </c>
      <c r="D155" s="1" t="s">
        <v>192</v>
      </c>
      <c r="E155" s="3" t="s">
        <v>192</v>
      </c>
      <c r="F155" s="3" t="s">
        <v>192</v>
      </c>
      <c r="G155" s="3" t="s">
        <v>192</v>
      </c>
      <c r="H155" s="3" t="s">
        <v>192</v>
      </c>
      <c r="I155" s="3" t="s">
        <v>192</v>
      </c>
      <c r="J155" s="3" t="s">
        <v>192</v>
      </c>
      <c r="K155" s="3" t="s">
        <v>192</v>
      </c>
      <c r="L155" s="3" t="s">
        <v>192</v>
      </c>
      <c r="M155" s="3" t="s">
        <v>192</v>
      </c>
      <c r="N155" s="3" t="s">
        <v>192</v>
      </c>
      <c r="O155" s="3" t="s">
        <v>192</v>
      </c>
      <c r="P155" s="3" t="s">
        <v>192</v>
      </c>
      <c r="Q155" s="3" t="s">
        <v>192</v>
      </c>
      <c r="R155" s="3" t="s">
        <v>192</v>
      </c>
      <c r="S155" s="3" t="s">
        <v>192</v>
      </c>
      <c r="T155" s="3" t="s">
        <v>192</v>
      </c>
      <c r="U155" s="3" t="s">
        <v>192</v>
      </c>
      <c r="V155" s="3" t="s">
        <v>192</v>
      </c>
      <c r="W155" s="3" t="s">
        <v>192</v>
      </c>
      <c r="X155" s="3" t="s">
        <v>192</v>
      </c>
      <c r="Y155" s="3" t="s">
        <v>192</v>
      </c>
      <c r="Z155" s="3" t="s">
        <v>192</v>
      </c>
      <c r="AA155" s="3" t="s">
        <v>192</v>
      </c>
      <c r="AB155" s="3" t="s">
        <v>192</v>
      </c>
      <c r="AC155" s="3" t="s">
        <v>192</v>
      </c>
      <c r="AD155" s="3" t="s">
        <v>192</v>
      </c>
      <c r="AE155" s="3" t="s">
        <v>192</v>
      </c>
      <c r="AF155" s="3" t="s">
        <v>192</v>
      </c>
      <c r="AG155" s="3" t="s">
        <v>192</v>
      </c>
      <c r="AH155" s="3" t="s">
        <v>192</v>
      </c>
      <c r="AI155" s="3" t="s">
        <v>192</v>
      </c>
      <c r="AJ155" s="3" t="s">
        <v>192</v>
      </c>
      <c r="AK155" s="3" t="s">
        <v>192</v>
      </c>
      <c r="AL155" s="3" t="s">
        <v>192</v>
      </c>
      <c r="AM155" s="3" t="s">
        <v>192</v>
      </c>
      <c r="AN155" s="3" t="s">
        <v>192</v>
      </c>
      <c r="AO155" s="3" t="s">
        <v>192</v>
      </c>
      <c r="AP155" s="3" t="s">
        <v>192</v>
      </c>
      <c r="AQ155" s="3" t="s">
        <v>192</v>
      </c>
      <c r="AR155" s="3" t="s">
        <v>192</v>
      </c>
      <c r="AS155" s="3" t="s">
        <v>192</v>
      </c>
      <c r="AT155" s="3" t="s">
        <v>192</v>
      </c>
      <c r="AU155" s="3" t="s">
        <v>192</v>
      </c>
      <c r="AV155" s="3" t="s">
        <v>192</v>
      </c>
      <c r="AW155" s="3" t="s">
        <v>192</v>
      </c>
      <c r="AX155" s="3" t="s">
        <v>192</v>
      </c>
      <c r="AY155" s="3" t="s">
        <v>192</v>
      </c>
      <c r="AZ155" s="3" t="s">
        <v>192</v>
      </c>
      <c r="BA155" s="3" t="s">
        <v>192</v>
      </c>
      <c r="BB155" s="3" t="s">
        <v>192</v>
      </c>
      <c r="BC155" s="3" t="s">
        <v>192</v>
      </c>
      <c r="BD155" s="3" t="s">
        <v>192</v>
      </c>
      <c r="BE155" s="3" t="s">
        <v>192</v>
      </c>
      <c r="BF155" s="3" t="s">
        <v>192</v>
      </c>
      <c r="BG155" s="3" t="s">
        <v>192</v>
      </c>
      <c r="BH155" s="3" t="s">
        <v>192</v>
      </c>
      <c r="BI155" s="3" t="s">
        <v>192</v>
      </c>
      <c r="BJ155" s="3" t="s">
        <v>192</v>
      </c>
      <c r="BK155" s="3" t="s">
        <v>192</v>
      </c>
      <c r="BL155" s="3">
        <v>1</v>
      </c>
      <c r="BM155" s="3" t="s">
        <v>192</v>
      </c>
      <c r="BN155" s="3" t="s">
        <v>192</v>
      </c>
      <c r="BO155" s="3" t="s">
        <v>192</v>
      </c>
      <c r="BP155" s="3" t="s">
        <v>192</v>
      </c>
      <c r="BQ155" s="3" t="s">
        <v>192</v>
      </c>
      <c r="BR155" s="3" t="s">
        <v>192</v>
      </c>
      <c r="BS155" s="3">
        <v>1</v>
      </c>
      <c r="BT155" s="3" t="s">
        <v>192</v>
      </c>
      <c r="BU155" s="3" t="s">
        <v>192</v>
      </c>
      <c r="BV155" s="3" t="s">
        <v>192</v>
      </c>
      <c r="BW155" s="3" t="s">
        <v>192</v>
      </c>
      <c r="BX155" s="3" t="s">
        <v>192</v>
      </c>
      <c r="BY155" s="3" t="s">
        <v>192</v>
      </c>
      <c r="BZ155" s="3" t="s">
        <v>192</v>
      </c>
      <c r="CA155" s="3" t="s">
        <v>192</v>
      </c>
      <c r="CB155" s="3" t="s">
        <v>192</v>
      </c>
      <c r="CC155" s="3" t="s">
        <v>192</v>
      </c>
      <c r="CD155" s="3" t="s">
        <v>192</v>
      </c>
      <c r="CE155" s="3" t="s">
        <v>192</v>
      </c>
      <c r="CF155" s="3" t="s">
        <v>192</v>
      </c>
      <c r="CG155" s="3">
        <v>1</v>
      </c>
      <c r="CH155" s="3" t="s">
        <v>192</v>
      </c>
      <c r="CI155" s="3" t="s">
        <v>192</v>
      </c>
      <c r="CJ155" s="3" t="s">
        <v>192</v>
      </c>
      <c r="CK155" s="3" t="s">
        <v>192</v>
      </c>
      <c r="CL155" s="3" t="s">
        <v>192</v>
      </c>
      <c r="CM155" s="3" t="s">
        <v>192</v>
      </c>
      <c r="CN155" s="3" t="s">
        <v>192</v>
      </c>
      <c r="CO155" s="3" t="s">
        <v>192</v>
      </c>
      <c r="CP155" s="3" t="s">
        <v>192</v>
      </c>
      <c r="CQ155" s="3" t="s">
        <v>192</v>
      </c>
      <c r="CR155" s="3" t="s">
        <v>192</v>
      </c>
      <c r="CS155" s="3" t="s">
        <v>192</v>
      </c>
      <c r="CT155" s="1">
        <f>SUM(Table7[[#This Row],[Acyl_amino_acids]:[T3PKS]])</f>
        <v>3</v>
      </c>
      <c r="CU155" s="3" t="s">
        <v>192</v>
      </c>
      <c r="CW155" s="1">
        <f>Table7[[#This Row],[NRPS]]</f>
        <v>1</v>
      </c>
      <c r="CX155" s="1">
        <f>SUM(CP155,CR155,CS155,Table7[[#This Row],[T1PKS, T3PKS]])</f>
        <v>0</v>
      </c>
      <c r="CY155" s="1">
        <f t="shared" si="2"/>
        <v>1</v>
      </c>
      <c r="CZ155" s="1">
        <f>Table7[[#This Row],[Terpene]]</f>
        <v>1</v>
      </c>
      <c r="DA155" s="1">
        <f>SUM(Table7[[#This Row],[Thiopeptide]],BH155,BF155,BE155,BC155,AZ155,AX155,AW155,AJ155,AH155,N155,L155,J155,H155,I155,K155,R155,Q155,Table7[[#This Row],[Cyanobactin, LAP]])</f>
        <v>0</v>
      </c>
      <c r="DB155" s="1">
        <f>SUM(CO155,CN155,CL155,CK155,CJ155,CI155,CH155,CF155,CE155,CD155,CB155,CA155,BZ155,BY155,BX155,BW155,BV155,BT155,BR155,BQ155,BP155,BO155,BM155,BK155,BJ155,BI155,BG155,BD155,BB155,BA155,AY155,AV155,AU155,AT155,AS155,AR155,AQ155,AP155,AO155,AN155,AM155,AL155,AK155,AG155,AF155,AE155,AD155,AC155,AB155,AA155,Z155,Y155,X155,W155,V155,U155,T155,S155,P155,O155,M155,Table7[[#This Row],[Acyl_amino_acids]],E155,F155,G155,)</f>
        <v>0</v>
      </c>
    </row>
    <row r="156" spans="1:106" x14ac:dyDescent="0.25">
      <c r="A156" s="9" t="s">
        <v>646</v>
      </c>
      <c r="B156" s="1" t="s">
        <v>435</v>
      </c>
      <c r="C156" s="1" t="s">
        <v>393</v>
      </c>
      <c r="D156" s="1" t="s">
        <v>192</v>
      </c>
      <c r="E156" s="3" t="s">
        <v>192</v>
      </c>
      <c r="F156" s="3" t="s">
        <v>192</v>
      </c>
      <c r="G156" s="3" t="s">
        <v>192</v>
      </c>
      <c r="H156" s="3" t="s">
        <v>192</v>
      </c>
      <c r="I156" s="3" t="s">
        <v>192</v>
      </c>
      <c r="J156" s="3" t="s">
        <v>192</v>
      </c>
      <c r="K156" s="3" t="s">
        <v>192</v>
      </c>
      <c r="L156" s="3" t="s">
        <v>192</v>
      </c>
      <c r="M156" s="3" t="s">
        <v>192</v>
      </c>
      <c r="N156" s="3" t="s">
        <v>192</v>
      </c>
      <c r="O156" s="3" t="s">
        <v>192</v>
      </c>
      <c r="P156" s="3" t="s">
        <v>192</v>
      </c>
      <c r="Q156" s="3" t="s">
        <v>192</v>
      </c>
      <c r="R156" s="3" t="s">
        <v>192</v>
      </c>
      <c r="S156" s="3" t="s">
        <v>192</v>
      </c>
      <c r="T156" s="3" t="s">
        <v>192</v>
      </c>
      <c r="U156" s="3" t="s">
        <v>192</v>
      </c>
      <c r="V156" s="3" t="s">
        <v>192</v>
      </c>
      <c r="W156" s="3" t="s">
        <v>192</v>
      </c>
      <c r="X156" s="3" t="s">
        <v>192</v>
      </c>
      <c r="Y156" s="3" t="s">
        <v>192</v>
      </c>
      <c r="Z156" s="3" t="s">
        <v>192</v>
      </c>
      <c r="AA156" s="3" t="s">
        <v>192</v>
      </c>
      <c r="AB156" s="3" t="s">
        <v>192</v>
      </c>
      <c r="AC156" s="3" t="s">
        <v>192</v>
      </c>
      <c r="AD156" s="3" t="s">
        <v>192</v>
      </c>
      <c r="AE156" s="3" t="s">
        <v>192</v>
      </c>
      <c r="AF156" s="3" t="s">
        <v>192</v>
      </c>
      <c r="AG156" s="3" t="s">
        <v>192</v>
      </c>
      <c r="AH156" s="3" t="s">
        <v>192</v>
      </c>
      <c r="AI156" s="3" t="s">
        <v>192</v>
      </c>
      <c r="AJ156" s="3" t="s">
        <v>192</v>
      </c>
      <c r="AK156" s="3" t="s">
        <v>192</v>
      </c>
      <c r="AL156" s="3" t="s">
        <v>192</v>
      </c>
      <c r="AM156" s="3" t="s">
        <v>192</v>
      </c>
      <c r="AN156" s="3" t="s">
        <v>192</v>
      </c>
      <c r="AO156" s="3" t="s">
        <v>192</v>
      </c>
      <c r="AP156" s="3" t="s">
        <v>192</v>
      </c>
      <c r="AQ156" s="3" t="s">
        <v>192</v>
      </c>
      <c r="AR156" s="3" t="s">
        <v>192</v>
      </c>
      <c r="AS156" s="3" t="s">
        <v>192</v>
      </c>
      <c r="AT156" s="3" t="s">
        <v>192</v>
      </c>
      <c r="AU156" s="3" t="s">
        <v>192</v>
      </c>
      <c r="AV156" s="3" t="s">
        <v>192</v>
      </c>
      <c r="AW156" s="3" t="s">
        <v>192</v>
      </c>
      <c r="AX156" s="3" t="s">
        <v>192</v>
      </c>
      <c r="AY156" s="3" t="s">
        <v>192</v>
      </c>
      <c r="AZ156" s="3" t="s">
        <v>192</v>
      </c>
      <c r="BA156" s="3" t="s">
        <v>192</v>
      </c>
      <c r="BB156" s="3" t="s">
        <v>192</v>
      </c>
      <c r="BC156" s="3" t="s">
        <v>192</v>
      </c>
      <c r="BD156" s="3" t="s">
        <v>192</v>
      </c>
      <c r="BE156" s="3" t="s">
        <v>192</v>
      </c>
      <c r="BF156" s="3" t="s">
        <v>192</v>
      </c>
      <c r="BG156" s="3" t="s">
        <v>192</v>
      </c>
      <c r="BH156" s="3" t="s">
        <v>192</v>
      </c>
      <c r="BI156" s="3" t="s">
        <v>192</v>
      </c>
      <c r="BJ156" s="3" t="s">
        <v>192</v>
      </c>
      <c r="BK156" s="3" t="s">
        <v>192</v>
      </c>
      <c r="BL156" s="3">
        <v>1</v>
      </c>
      <c r="BM156" s="3" t="s">
        <v>192</v>
      </c>
      <c r="BN156" s="3" t="s">
        <v>192</v>
      </c>
      <c r="BO156" s="3" t="s">
        <v>192</v>
      </c>
      <c r="BP156" s="3" t="s">
        <v>192</v>
      </c>
      <c r="BQ156" s="3" t="s">
        <v>192</v>
      </c>
      <c r="BR156" s="3" t="s">
        <v>192</v>
      </c>
      <c r="BS156" s="3">
        <v>1</v>
      </c>
      <c r="BT156" s="3" t="s">
        <v>192</v>
      </c>
      <c r="BU156" s="3" t="s">
        <v>192</v>
      </c>
      <c r="BV156" s="3" t="s">
        <v>192</v>
      </c>
      <c r="BW156" s="3" t="s">
        <v>192</v>
      </c>
      <c r="BX156" s="3" t="s">
        <v>192</v>
      </c>
      <c r="BY156" s="3" t="s">
        <v>192</v>
      </c>
      <c r="BZ156" s="3" t="s">
        <v>192</v>
      </c>
      <c r="CA156" s="3" t="s">
        <v>192</v>
      </c>
      <c r="CB156" s="3" t="s">
        <v>192</v>
      </c>
      <c r="CC156" s="3" t="s">
        <v>192</v>
      </c>
      <c r="CD156" s="3" t="s">
        <v>192</v>
      </c>
      <c r="CE156" s="3" t="s">
        <v>192</v>
      </c>
      <c r="CF156" s="3" t="s">
        <v>192</v>
      </c>
      <c r="CG156" s="3">
        <v>1</v>
      </c>
      <c r="CH156" s="3" t="s">
        <v>192</v>
      </c>
      <c r="CI156" s="3" t="s">
        <v>192</v>
      </c>
      <c r="CJ156" s="3" t="s">
        <v>192</v>
      </c>
      <c r="CK156" s="3" t="s">
        <v>192</v>
      </c>
      <c r="CL156" s="3" t="s">
        <v>192</v>
      </c>
      <c r="CM156" s="3" t="s">
        <v>192</v>
      </c>
      <c r="CN156" s="3" t="s">
        <v>192</v>
      </c>
      <c r="CO156" s="3" t="s">
        <v>192</v>
      </c>
      <c r="CP156" s="3" t="s">
        <v>192</v>
      </c>
      <c r="CQ156" s="3" t="s">
        <v>192</v>
      </c>
      <c r="CR156" s="3" t="s">
        <v>192</v>
      </c>
      <c r="CS156" s="3" t="s">
        <v>192</v>
      </c>
      <c r="CT156" s="1">
        <f>SUM(Table7[[#This Row],[Acyl_amino_acids]:[T3PKS]])</f>
        <v>3</v>
      </c>
      <c r="CU156" s="3" t="s">
        <v>192</v>
      </c>
      <c r="CW156" s="1">
        <f>Table7[[#This Row],[NRPS]]</f>
        <v>1</v>
      </c>
      <c r="CX156" s="1">
        <f>SUM(CP156,CR156,CS156,Table7[[#This Row],[T1PKS, T3PKS]])</f>
        <v>0</v>
      </c>
      <c r="CY156" s="1">
        <f t="shared" si="2"/>
        <v>1</v>
      </c>
      <c r="CZ156" s="1">
        <f>Table7[[#This Row],[Terpene]]</f>
        <v>1</v>
      </c>
      <c r="DA156" s="1">
        <f>SUM(Table7[[#This Row],[Thiopeptide]],BH156,BF156,BE156,BC156,AZ156,AX156,AW156,AJ156,AH156,N156,L156,J156,H156,I156,K156,R156,Q156,Table7[[#This Row],[Cyanobactin, LAP]])</f>
        <v>0</v>
      </c>
      <c r="DB156" s="1">
        <f>SUM(CO156,CN156,CL156,CK156,CJ156,CI156,CH156,CF156,CE156,CD156,CB156,CA156,BZ156,BY156,BX156,BW156,BV156,BT156,BR156,BQ156,BP156,BO156,BM156,BK156,BJ156,BI156,BG156,BD156,BB156,BA156,AY156,AV156,AU156,AT156,AS156,AR156,AQ156,AP156,AO156,AN156,AM156,AL156,AK156,AG156,AF156,AE156,AD156,AC156,AB156,AA156,Z156,Y156,X156,W156,V156,U156,T156,S156,P156,O156,M156,Table7[[#This Row],[Acyl_amino_acids]],E156,F156,G156,)</f>
        <v>0</v>
      </c>
    </row>
    <row r="157" spans="1:106" x14ac:dyDescent="0.25">
      <c r="A157" s="9" t="s">
        <v>750</v>
      </c>
      <c r="B157" s="1" t="s">
        <v>435</v>
      </c>
      <c r="C157" s="1" t="s">
        <v>390</v>
      </c>
      <c r="D157" s="1" t="s">
        <v>192</v>
      </c>
      <c r="E157" s="3" t="s">
        <v>192</v>
      </c>
      <c r="F157" s="3" t="s">
        <v>192</v>
      </c>
      <c r="G157" s="3" t="s">
        <v>192</v>
      </c>
      <c r="H157" s="3" t="s">
        <v>192</v>
      </c>
      <c r="I157" s="3" t="s">
        <v>192</v>
      </c>
      <c r="J157" s="3" t="s">
        <v>192</v>
      </c>
      <c r="K157" s="3" t="s">
        <v>192</v>
      </c>
      <c r="L157" s="3" t="s">
        <v>192</v>
      </c>
      <c r="M157" s="3" t="s">
        <v>192</v>
      </c>
      <c r="N157" s="3" t="s">
        <v>192</v>
      </c>
      <c r="O157" s="3" t="s">
        <v>192</v>
      </c>
      <c r="P157" s="3" t="s">
        <v>192</v>
      </c>
      <c r="Q157" s="3" t="s">
        <v>192</v>
      </c>
      <c r="R157" s="3" t="s">
        <v>192</v>
      </c>
      <c r="S157" s="3" t="s">
        <v>192</v>
      </c>
      <c r="T157" s="3" t="s">
        <v>192</v>
      </c>
      <c r="U157" s="3" t="s">
        <v>192</v>
      </c>
      <c r="V157" s="3" t="s">
        <v>192</v>
      </c>
      <c r="W157" s="3" t="s">
        <v>192</v>
      </c>
      <c r="X157" s="3" t="s">
        <v>192</v>
      </c>
      <c r="Y157" s="3" t="s">
        <v>192</v>
      </c>
      <c r="Z157" s="3" t="s">
        <v>192</v>
      </c>
      <c r="AA157" s="3" t="s">
        <v>192</v>
      </c>
      <c r="AB157" s="3" t="s">
        <v>192</v>
      </c>
      <c r="AC157" s="3" t="s">
        <v>192</v>
      </c>
      <c r="AD157" s="3" t="s">
        <v>192</v>
      </c>
      <c r="AE157" s="3" t="s">
        <v>192</v>
      </c>
      <c r="AF157" s="3" t="s">
        <v>192</v>
      </c>
      <c r="AG157" s="3" t="s">
        <v>192</v>
      </c>
      <c r="AH157" s="3" t="s">
        <v>192</v>
      </c>
      <c r="AI157" s="3" t="s">
        <v>192</v>
      </c>
      <c r="AJ157" s="3" t="s">
        <v>192</v>
      </c>
      <c r="AK157" s="3" t="s">
        <v>192</v>
      </c>
      <c r="AL157" s="3" t="s">
        <v>192</v>
      </c>
      <c r="AM157" s="3" t="s">
        <v>192</v>
      </c>
      <c r="AN157" s="3" t="s">
        <v>192</v>
      </c>
      <c r="AO157" s="3" t="s">
        <v>192</v>
      </c>
      <c r="AP157" s="3" t="s">
        <v>192</v>
      </c>
      <c r="AQ157" s="3" t="s">
        <v>192</v>
      </c>
      <c r="AR157" s="3" t="s">
        <v>192</v>
      </c>
      <c r="AS157" s="3" t="s">
        <v>192</v>
      </c>
      <c r="AT157" s="3" t="s">
        <v>192</v>
      </c>
      <c r="AU157" s="3" t="s">
        <v>192</v>
      </c>
      <c r="AV157" s="3" t="s">
        <v>192</v>
      </c>
      <c r="AW157" s="3" t="s">
        <v>192</v>
      </c>
      <c r="AX157" s="3" t="s">
        <v>192</v>
      </c>
      <c r="AY157" s="3" t="s">
        <v>192</v>
      </c>
      <c r="AZ157" s="3" t="s">
        <v>192</v>
      </c>
      <c r="BA157" s="3" t="s">
        <v>192</v>
      </c>
      <c r="BB157" s="3" t="s">
        <v>192</v>
      </c>
      <c r="BC157" s="3" t="s">
        <v>192</v>
      </c>
      <c r="BD157" s="3" t="s">
        <v>192</v>
      </c>
      <c r="BE157" s="3" t="s">
        <v>192</v>
      </c>
      <c r="BF157" s="3" t="s">
        <v>192</v>
      </c>
      <c r="BG157" s="3" t="s">
        <v>192</v>
      </c>
      <c r="BH157" s="3" t="s">
        <v>192</v>
      </c>
      <c r="BI157" s="3" t="s">
        <v>192</v>
      </c>
      <c r="BJ157" s="3" t="s">
        <v>192</v>
      </c>
      <c r="BK157" s="3" t="s">
        <v>192</v>
      </c>
      <c r="BL157" s="3">
        <v>1</v>
      </c>
      <c r="BM157" s="3" t="s">
        <v>192</v>
      </c>
      <c r="BN157" s="3" t="s">
        <v>192</v>
      </c>
      <c r="BO157" s="3" t="s">
        <v>192</v>
      </c>
      <c r="BP157" s="3" t="s">
        <v>192</v>
      </c>
      <c r="BQ157" s="3" t="s">
        <v>192</v>
      </c>
      <c r="BR157" s="3" t="s">
        <v>192</v>
      </c>
      <c r="BS157" s="3">
        <v>1</v>
      </c>
      <c r="BT157" s="3" t="s">
        <v>192</v>
      </c>
      <c r="BU157" s="3" t="s">
        <v>192</v>
      </c>
      <c r="BV157" s="3" t="s">
        <v>192</v>
      </c>
      <c r="BW157" s="3" t="s">
        <v>192</v>
      </c>
      <c r="BX157" s="3" t="s">
        <v>192</v>
      </c>
      <c r="BY157" s="3" t="s">
        <v>192</v>
      </c>
      <c r="BZ157" s="3" t="s">
        <v>192</v>
      </c>
      <c r="CA157" s="3" t="s">
        <v>192</v>
      </c>
      <c r="CB157" s="3" t="s">
        <v>192</v>
      </c>
      <c r="CC157" s="3" t="s">
        <v>192</v>
      </c>
      <c r="CD157" s="3" t="s">
        <v>192</v>
      </c>
      <c r="CE157" s="3" t="s">
        <v>192</v>
      </c>
      <c r="CF157" s="3" t="s">
        <v>192</v>
      </c>
      <c r="CG157" s="3">
        <v>1</v>
      </c>
      <c r="CH157" s="3" t="s">
        <v>192</v>
      </c>
      <c r="CI157" s="3" t="s">
        <v>192</v>
      </c>
      <c r="CJ157" s="3" t="s">
        <v>192</v>
      </c>
      <c r="CK157" s="3" t="s">
        <v>192</v>
      </c>
      <c r="CL157" s="3" t="s">
        <v>192</v>
      </c>
      <c r="CM157" s="3" t="s">
        <v>192</v>
      </c>
      <c r="CN157" s="3" t="s">
        <v>192</v>
      </c>
      <c r="CO157" s="3" t="s">
        <v>192</v>
      </c>
      <c r="CP157" s="3" t="s">
        <v>192</v>
      </c>
      <c r="CQ157" s="3" t="s">
        <v>192</v>
      </c>
      <c r="CR157" s="3" t="s">
        <v>192</v>
      </c>
      <c r="CS157" s="3" t="s">
        <v>192</v>
      </c>
      <c r="CT157" s="1">
        <f>SUM(Table7[[#This Row],[Acyl_amino_acids]:[T3PKS]])</f>
        <v>3</v>
      </c>
      <c r="CU157" s="3" t="s">
        <v>192</v>
      </c>
      <c r="CW157" s="1">
        <f>Table7[[#This Row],[NRPS]]</f>
        <v>1</v>
      </c>
      <c r="CX157" s="1">
        <f>SUM(CP157,CR157,CS157,Table7[[#This Row],[T1PKS, T3PKS]])</f>
        <v>0</v>
      </c>
      <c r="CY157" s="1">
        <f t="shared" si="2"/>
        <v>1</v>
      </c>
      <c r="CZ157" s="1">
        <f>Table7[[#This Row],[Terpene]]</f>
        <v>1</v>
      </c>
      <c r="DA157" s="1">
        <f>SUM(Table7[[#This Row],[Thiopeptide]],BH157,BF157,BE157,BC157,AZ157,AX157,AW157,AJ157,AH157,N157,L157,J157,H157,I157,K157,R157,Q157,Table7[[#This Row],[Cyanobactin, LAP]])</f>
        <v>0</v>
      </c>
      <c r="DB157" s="1">
        <f>SUM(CO157,CN157,CL157,CK157,CJ157,CI157,CH157,CF157,CE157,CD157,CB157,CA157,BZ157,BY157,BX157,BW157,BV157,BT157,BR157,BQ157,BP157,BO157,BM157,BK157,BJ157,BI157,BG157,BD157,BB157,BA157,AY157,AV157,AU157,AT157,AS157,AR157,AQ157,AP157,AO157,AN157,AM157,AL157,AK157,AG157,AF157,AE157,AD157,AC157,AB157,AA157,Z157,Y157,X157,W157,V157,U157,T157,S157,P157,O157,M157,Table7[[#This Row],[Acyl_amino_acids]],E157,F157,G157,)</f>
        <v>0</v>
      </c>
    </row>
    <row r="158" spans="1:106" x14ac:dyDescent="0.25">
      <c r="A158" s="9" t="s">
        <v>727</v>
      </c>
      <c r="B158" s="1" t="s">
        <v>435</v>
      </c>
      <c r="C158" s="1" t="s">
        <v>391</v>
      </c>
      <c r="D158" s="1" t="s">
        <v>192</v>
      </c>
      <c r="E158" s="3" t="s">
        <v>192</v>
      </c>
      <c r="F158" s="3" t="s">
        <v>192</v>
      </c>
      <c r="G158" s="3" t="s">
        <v>192</v>
      </c>
      <c r="H158" s="3">
        <v>2</v>
      </c>
      <c r="I158" s="3" t="s">
        <v>192</v>
      </c>
      <c r="J158" s="3" t="s">
        <v>192</v>
      </c>
      <c r="K158" s="3" t="s">
        <v>192</v>
      </c>
      <c r="L158" s="3" t="s">
        <v>192</v>
      </c>
      <c r="M158" s="3" t="s">
        <v>192</v>
      </c>
      <c r="N158" s="3" t="s">
        <v>192</v>
      </c>
      <c r="O158" s="3" t="s">
        <v>192</v>
      </c>
      <c r="P158" s="3" t="s">
        <v>192</v>
      </c>
      <c r="Q158" s="3" t="s">
        <v>192</v>
      </c>
      <c r="R158" s="3" t="s">
        <v>192</v>
      </c>
      <c r="S158" s="3" t="s">
        <v>192</v>
      </c>
      <c r="T158" s="3" t="s">
        <v>192</v>
      </c>
      <c r="U158" s="3" t="s">
        <v>192</v>
      </c>
      <c r="V158" s="3" t="s">
        <v>192</v>
      </c>
      <c r="W158" s="3" t="s">
        <v>192</v>
      </c>
      <c r="X158" s="3" t="s">
        <v>192</v>
      </c>
      <c r="Y158" s="3" t="s">
        <v>192</v>
      </c>
      <c r="Z158" s="3" t="s">
        <v>192</v>
      </c>
      <c r="AA158" s="3" t="s">
        <v>192</v>
      </c>
      <c r="AB158" s="3" t="s">
        <v>192</v>
      </c>
      <c r="AC158" s="3" t="s">
        <v>192</v>
      </c>
      <c r="AD158" s="3">
        <v>1</v>
      </c>
      <c r="AE158" s="3" t="s">
        <v>192</v>
      </c>
      <c r="AF158" s="3" t="s">
        <v>192</v>
      </c>
      <c r="AG158" s="3" t="s">
        <v>192</v>
      </c>
      <c r="AH158" s="3" t="s">
        <v>192</v>
      </c>
      <c r="AI158" s="3" t="s">
        <v>192</v>
      </c>
      <c r="AJ158" s="3" t="s">
        <v>192</v>
      </c>
      <c r="AK158" s="3">
        <v>1</v>
      </c>
      <c r="AL158" s="3" t="s">
        <v>192</v>
      </c>
      <c r="AM158" s="3" t="s">
        <v>192</v>
      </c>
      <c r="AN158" s="3" t="s">
        <v>192</v>
      </c>
      <c r="AO158" s="3" t="s">
        <v>192</v>
      </c>
      <c r="AP158" s="3" t="s">
        <v>192</v>
      </c>
      <c r="AQ158" s="3" t="s">
        <v>192</v>
      </c>
      <c r="AR158" s="3" t="s">
        <v>192</v>
      </c>
      <c r="AS158" s="3" t="s">
        <v>192</v>
      </c>
      <c r="AT158" s="3" t="s">
        <v>192</v>
      </c>
      <c r="AU158" s="3" t="s">
        <v>192</v>
      </c>
      <c r="AV158" s="3" t="s">
        <v>192</v>
      </c>
      <c r="AW158" s="3" t="s">
        <v>192</v>
      </c>
      <c r="AX158" s="3" t="s">
        <v>192</v>
      </c>
      <c r="AY158" s="3" t="s">
        <v>192</v>
      </c>
      <c r="AZ158" s="3" t="s">
        <v>192</v>
      </c>
      <c r="BA158" s="3" t="s">
        <v>192</v>
      </c>
      <c r="BB158" s="3" t="s">
        <v>192</v>
      </c>
      <c r="BC158" s="3" t="s">
        <v>192</v>
      </c>
      <c r="BD158" s="3" t="s">
        <v>192</v>
      </c>
      <c r="BE158" s="3" t="s">
        <v>192</v>
      </c>
      <c r="BF158" s="3" t="s">
        <v>192</v>
      </c>
      <c r="BG158" s="3" t="s">
        <v>192</v>
      </c>
      <c r="BH158" s="3" t="s">
        <v>192</v>
      </c>
      <c r="BI158" s="3" t="s">
        <v>192</v>
      </c>
      <c r="BJ158" s="3" t="s">
        <v>192</v>
      </c>
      <c r="BK158" s="3" t="s">
        <v>192</v>
      </c>
      <c r="BL158" s="3" t="s">
        <v>192</v>
      </c>
      <c r="BM158" s="3" t="s">
        <v>192</v>
      </c>
      <c r="BN158" s="3" t="s">
        <v>192</v>
      </c>
      <c r="BO158" s="3" t="s">
        <v>192</v>
      </c>
      <c r="BP158" s="3">
        <v>1</v>
      </c>
      <c r="BQ158" s="3" t="s">
        <v>192</v>
      </c>
      <c r="BR158" s="3" t="s">
        <v>192</v>
      </c>
      <c r="BS158" s="3">
        <v>1</v>
      </c>
      <c r="BT158" s="3" t="s">
        <v>192</v>
      </c>
      <c r="BU158" s="3" t="s">
        <v>192</v>
      </c>
      <c r="BV158" s="3" t="s">
        <v>192</v>
      </c>
      <c r="BW158" s="3" t="s">
        <v>192</v>
      </c>
      <c r="BX158" s="3" t="s">
        <v>192</v>
      </c>
      <c r="BY158" s="3" t="s">
        <v>192</v>
      </c>
      <c r="BZ158" s="3" t="s">
        <v>192</v>
      </c>
      <c r="CA158" s="3" t="s">
        <v>192</v>
      </c>
      <c r="CB158" s="3" t="s">
        <v>192</v>
      </c>
      <c r="CC158" s="3" t="s">
        <v>192</v>
      </c>
      <c r="CD158" s="3" t="s">
        <v>192</v>
      </c>
      <c r="CE158" s="3" t="s">
        <v>192</v>
      </c>
      <c r="CF158" s="3" t="s">
        <v>192</v>
      </c>
      <c r="CG158" s="3">
        <v>2</v>
      </c>
      <c r="CH158" s="3" t="s">
        <v>192</v>
      </c>
      <c r="CI158" s="3" t="s">
        <v>192</v>
      </c>
      <c r="CJ158" s="3" t="s">
        <v>192</v>
      </c>
      <c r="CK158" s="3" t="s">
        <v>192</v>
      </c>
      <c r="CL158" s="3" t="s">
        <v>192</v>
      </c>
      <c r="CM158" s="3" t="s">
        <v>192</v>
      </c>
      <c r="CN158" s="3" t="s">
        <v>192</v>
      </c>
      <c r="CO158" s="3" t="s">
        <v>192</v>
      </c>
      <c r="CP158" s="3" t="s">
        <v>192</v>
      </c>
      <c r="CQ158" s="3" t="s">
        <v>192</v>
      </c>
      <c r="CR158" s="3" t="s">
        <v>192</v>
      </c>
      <c r="CS158" s="3" t="s">
        <v>192</v>
      </c>
      <c r="CT158" s="1">
        <f>SUM(Table7[[#This Row],[Acyl_amino_acids]:[T3PKS]])</f>
        <v>8</v>
      </c>
      <c r="CU158" s="3" t="s">
        <v>192</v>
      </c>
      <c r="CW158" s="1" t="str">
        <f>Table7[[#This Row],[NRPS]]</f>
        <v>-</v>
      </c>
      <c r="CX158" s="1">
        <f>SUM(CP158,CR158,CS158,Table7[[#This Row],[T1PKS, T3PKS]])</f>
        <v>0</v>
      </c>
      <c r="CY158" s="1">
        <f t="shared" si="2"/>
        <v>1</v>
      </c>
      <c r="CZ158" s="1">
        <f>Table7[[#This Row],[Terpene]]</f>
        <v>2</v>
      </c>
      <c r="DA158" s="1">
        <f>SUM(Table7[[#This Row],[Thiopeptide]],BH158,BF158,BE158,BC158,AZ158,AX158,AW158,AJ158,AH158,N158,L158,J158,H158,I158,K158,R158,Q158,Table7[[#This Row],[Cyanobactin, LAP]])</f>
        <v>2</v>
      </c>
      <c r="DB158" s="1">
        <f>SUM(CO158,CN158,CL158,CK158,CJ158,CI158,CH158,CF158,CE158,CD158,CB158,CA158,BZ158,BY158,BX158,BW158,BV158,BT158,BR158,BQ158,BP158,BO158,BM158,BK158,BJ158,BI158,BG158,BD158,BB158,BA158,AY158,AV158,AU158,AT158,AS158,AR158,AQ158,AP158,AO158,AN158,AM158,AL158,AK158,AG158,AF158,AE158,AD158,AC158,AB158,AA158,Z158,Y158,X158,W158,V158,U158,T158,S158,P158,O158,M158,Table7[[#This Row],[Acyl_amino_acids]],E158,F158,G158,)</f>
        <v>3</v>
      </c>
    </row>
    <row r="159" spans="1:106" x14ac:dyDescent="0.25">
      <c r="A159" s="9" t="s">
        <v>719</v>
      </c>
      <c r="B159" s="1" t="s">
        <v>435</v>
      </c>
      <c r="C159" s="1" t="s">
        <v>392</v>
      </c>
      <c r="D159" s="1" t="s">
        <v>192</v>
      </c>
      <c r="E159" s="1" t="s">
        <v>192</v>
      </c>
      <c r="F159" s="3" t="s">
        <v>192</v>
      </c>
      <c r="G159" s="3" t="s">
        <v>192</v>
      </c>
      <c r="H159" s="3" t="s">
        <v>192</v>
      </c>
      <c r="I159" s="3" t="s">
        <v>192</v>
      </c>
      <c r="J159" s="3" t="s">
        <v>192</v>
      </c>
      <c r="K159" s="3" t="s">
        <v>192</v>
      </c>
      <c r="L159" s="3" t="s">
        <v>192</v>
      </c>
      <c r="M159" s="3" t="s">
        <v>192</v>
      </c>
      <c r="N159" s="3" t="s">
        <v>192</v>
      </c>
      <c r="O159" s="3" t="s">
        <v>192</v>
      </c>
      <c r="P159" s="3" t="s">
        <v>192</v>
      </c>
      <c r="Q159" s="3" t="s">
        <v>192</v>
      </c>
      <c r="R159" s="3" t="s">
        <v>192</v>
      </c>
      <c r="S159" s="3" t="s">
        <v>192</v>
      </c>
      <c r="T159" s="3" t="s">
        <v>192</v>
      </c>
      <c r="U159" s="3" t="s">
        <v>192</v>
      </c>
      <c r="V159" s="3" t="s">
        <v>192</v>
      </c>
      <c r="W159" s="3" t="s">
        <v>192</v>
      </c>
      <c r="X159" s="3" t="s">
        <v>192</v>
      </c>
      <c r="Y159" s="3" t="s">
        <v>192</v>
      </c>
      <c r="Z159" s="3" t="s">
        <v>192</v>
      </c>
      <c r="AA159" s="3" t="s">
        <v>192</v>
      </c>
      <c r="AB159" s="3" t="s">
        <v>192</v>
      </c>
      <c r="AC159" s="3" t="s">
        <v>192</v>
      </c>
      <c r="AD159" s="3" t="s">
        <v>192</v>
      </c>
      <c r="AE159" s="3" t="s">
        <v>192</v>
      </c>
      <c r="AF159" s="3" t="s">
        <v>192</v>
      </c>
      <c r="AG159" s="3" t="s">
        <v>192</v>
      </c>
      <c r="AH159" s="3" t="s">
        <v>192</v>
      </c>
      <c r="AI159" s="3" t="s">
        <v>192</v>
      </c>
      <c r="AJ159" s="3" t="s">
        <v>192</v>
      </c>
      <c r="AK159" s="3" t="s">
        <v>192</v>
      </c>
      <c r="AL159" s="3" t="s">
        <v>192</v>
      </c>
      <c r="AM159" s="3" t="s">
        <v>192</v>
      </c>
      <c r="AN159" s="3" t="s">
        <v>192</v>
      </c>
      <c r="AO159" s="3" t="s">
        <v>192</v>
      </c>
      <c r="AP159" s="3" t="s">
        <v>192</v>
      </c>
      <c r="AQ159" s="3" t="s">
        <v>192</v>
      </c>
      <c r="AR159" s="3" t="s">
        <v>192</v>
      </c>
      <c r="AS159" s="3" t="s">
        <v>192</v>
      </c>
      <c r="AT159" s="3" t="s">
        <v>192</v>
      </c>
      <c r="AU159" s="3" t="s">
        <v>192</v>
      </c>
      <c r="AV159" s="3" t="s">
        <v>192</v>
      </c>
      <c r="AW159" s="3">
        <v>1</v>
      </c>
      <c r="AX159" s="3" t="s">
        <v>192</v>
      </c>
      <c r="AY159" s="3" t="s">
        <v>192</v>
      </c>
      <c r="AZ159" s="3" t="s">
        <v>192</v>
      </c>
      <c r="BA159" s="3" t="s">
        <v>192</v>
      </c>
      <c r="BB159" s="3" t="s">
        <v>192</v>
      </c>
      <c r="BC159" s="3" t="s">
        <v>192</v>
      </c>
      <c r="BD159" s="3" t="s">
        <v>192</v>
      </c>
      <c r="BE159" s="3" t="s">
        <v>192</v>
      </c>
      <c r="BF159" s="3" t="s">
        <v>192</v>
      </c>
      <c r="BG159" s="3" t="s">
        <v>192</v>
      </c>
      <c r="BH159" s="3" t="s">
        <v>192</v>
      </c>
      <c r="BI159" s="3" t="s">
        <v>192</v>
      </c>
      <c r="BJ159" s="3" t="s">
        <v>192</v>
      </c>
      <c r="BK159" s="3" t="s">
        <v>192</v>
      </c>
      <c r="BL159" s="3">
        <v>2</v>
      </c>
      <c r="BM159" s="3" t="s">
        <v>192</v>
      </c>
      <c r="BN159" s="3" t="s">
        <v>192</v>
      </c>
      <c r="BO159" s="3" t="s">
        <v>192</v>
      </c>
      <c r="BP159" s="3" t="s">
        <v>192</v>
      </c>
      <c r="BQ159" s="3" t="s">
        <v>192</v>
      </c>
      <c r="BR159" s="3" t="s">
        <v>192</v>
      </c>
      <c r="BS159" s="3" t="s">
        <v>192</v>
      </c>
      <c r="BT159" s="3" t="s">
        <v>192</v>
      </c>
      <c r="BU159" s="3" t="s">
        <v>192</v>
      </c>
      <c r="BV159" s="3" t="s">
        <v>192</v>
      </c>
      <c r="BW159" s="3" t="s">
        <v>192</v>
      </c>
      <c r="BX159" s="3" t="s">
        <v>192</v>
      </c>
      <c r="BY159" s="3" t="s">
        <v>192</v>
      </c>
      <c r="BZ159" s="3" t="s">
        <v>192</v>
      </c>
      <c r="CA159" s="3" t="s">
        <v>192</v>
      </c>
      <c r="CB159" s="3" t="s">
        <v>192</v>
      </c>
      <c r="CC159" s="3" t="s">
        <v>192</v>
      </c>
      <c r="CD159" s="3" t="s">
        <v>192</v>
      </c>
      <c r="CE159" s="3" t="s">
        <v>192</v>
      </c>
      <c r="CF159" s="3" t="s">
        <v>192</v>
      </c>
      <c r="CG159" s="3">
        <v>3</v>
      </c>
      <c r="CH159" s="3" t="s">
        <v>192</v>
      </c>
      <c r="CI159" s="3" t="s">
        <v>192</v>
      </c>
      <c r="CJ159" s="3" t="s">
        <v>192</v>
      </c>
      <c r="CK159" s="3" t="s">
        <v>192</v>
      </c>
      <c r="CL159" s="3" t="s">
        <v>192</v>
      </c>
      <c r="CM159" s="3" t="s">
        <v>192</v>
      </c>
      <c r="CN159" s="3" t="s">
        <v>192</v>
      </c>
      <c r="CO159" s="3" t="s">
        <v>192</v>
      </c>
      <c r="CP159" s="3" t="s">
        <v>192</v>
      </c>
      <c r="CQ159" s="3" t="s">
        <v>192</v>
      </c>
      <c r="CR159" s="3" t="s">
        <v>192</v>
      </c>
      <c r="CS159" s="3" t="s">
        <v>192</v>
      </c>
      <c r="CT159" s="1">
        <f>SUM(Table7[[#This Row],[Acyl_amino_acids]:[T3PKS]])</f>
        <v>6</v>
      </c>
      <c r="CU159" s="3" t="s">
        <v>192</v>
      </c>
      <c r="CW159" s="1">
        <f>Table7[[#This Row],[NRPS]]</f>
        <v>2</v>
      </c>
      <c r="CX159" s="1">
        <f>SUM(CP159,CR159,CS159,Table7[[#This Row],[T1PKS, T3PKS]])</f>
        <v>0</v>
      </c>
      <c r="CY159" s="1">
        <f t="shared" si="2"/>
        <v>0</v>
      </c>
      <c r="CZ159" s="1">
        <f>Table7[[#This Row],[Terpene]]</f>
        <v>3</v>
      </c>
      <c r="DA159" s="1">
        <f>SUM(Table7[[#This Row],[Thiopeptide]],BH159,BF159,BE159,BC159,AZ159,AX159,AW159,AJ159,AH159,N159,L159,J159,H159,I159,K159,R159,Q159,Table7[[#This Row],[Cyanobactin, LAP]])</f>
        <v>1</v>
      </c>
      <c r="DB159" s="1">
        <f>SUM(CO159,CN159,CL159,CK159,CJ159,CI159,CH159,CF159,CE159,CD159,CB159,CA159,BZ159,BY159,BX159,BW159,BV159,BT159,BR159,BQ159,BP159,BO159,BM159,BK159,BJ159,BI159,BG159,BD159,BB159,BA159,AY159,AV159,AU159,AT159,AS159,AR159,AQ159,AP159,AO159,AN159,AM159,AL159,AK159,AG159,AF159,AE159,AD159,AC159,AB159,AA159,Z159,Y159,X159,W159,V159,U159,T159,S159,P159,O159,M159,Table7[[#This Row],[Acyl_amino_acids]],E159,F159,G159,)</f>
        <v>0</v>
      </c>
    </row>
    <row r="160" spans="1:106" x14ac:dyDescent="0.25">
      <c r="A160" s="9" t="s">
        <v>755</v>
      </c>
      <c r="B160" s="1" t="s">
        <v>435</v>
      </c>
      <c r="C160" s="1" t="s">
        <v>389</v>
      </c>
      <c r="D160" s="1" t="s">
        <v>192</v>
      </c>
      <c r="E160" s="3" t="s">
        <v>192</v>
      </c>
      <c r="F160" s="3" t="s">
        <v>192</v>
      </c>
      <c r="G160" s="3" t="s">
        <v>192</v>
      </c>
      <c r="H160" s="3" t="s">
        <v>192</v>
      </c>
      <c r="I160" s="3" t="s">
        <v>192</v>
      </c>
      <c r="J160" s="3" t="s">
        <v>192</v>
      </c>
      <c r="K160" s="3" t="s">
        <v>192</v>
      </c>
      <c r="L160" s="3" t="s">
        <v>192</v>
      </c>
      <c r="M160" s="3" t="s">
        <v>192</v>
      </c>
      <c r="N160" s="3" t="s">
        <v>192</v>
      </c>
      <c r="O160" s="3" t="s">
        <v>192</v>
      </c>
      <c r="P160" s="3" t="s">
        <v>192</v>
      </c>
      <c r="Q160" s="3" t="s">
        <v>192</v>
      </c>
      <c r="R160" s="3" t="s">
        <v>192</v>
      </c>
      <c r="S160" s="3" t="s">
        <v>192</v>
      </c>
      <c r="T160" s="3" t="s">
        <v>192</v>
      </c>
      <c r="U160" s="3" t="s">
        <v>192</v>
      </c>
      <c r="V160" s="3" t="s">
        <v>192</v>
      </c>
      <c r="W160" s="3" t="s">
        <v>192</v>
      </c>
      <c r="X160" s="3" t="s">
        <v>192</v>
      </c>
      <c r="Y160" s="3" t="s">
        <v>192</v>
      </c>
      <c r="Z160" s="3" t="s">
        <v>192</v>
      </c>
      <c r="AA160" s="3" t="s">
        <v>192</v>
      </c>
      <c r="AB160" s="3" t="s">
        <v>192</v>
      </c>
      <c r="AC160" s="3" t="s">
        <v>192</v>
      </c>
      <c r="AD160" s="3" t="s">
        <v>192</v>
      </c>
      <c r="AE160" s="3" t="s">
        <v>192</v>
      </c>
      <c r="AF160" s="3" t="s">
        <v>192</v>
      </c>
      <c r="AG160" s="3" t="s">
        <v>192</v>
      </c>
      <c r="AH160" s="3" t="s">
        <v>192</v>
      </c>
      <c r="AI160" s="3" t="s">
        <v>192</v>
      </c>
      <c r="AJ160" s="3" t="s">
        <v>192</v>
      </c>
      <c r="AK160" s="3" t="s">
        <v>192</v>
      </c>
      <c r="AL160" s="3" t="s">
        <v>192</v>
      </c>
      <c r="AM160" s="3" t="s">
        <v>192</v>
      </c>
      <c r="AN160" s="3" t="s">
        <v>192</v>
      </c>
      <c r="AO160" s="3" t="s">
        <v>192</v>
      </c>
      <c r="AP160" s="3" t="s">
        <v>192</v>
      </c>
      <c r="AQ160" s="3" t="s">
        <v>192</v>
      </c>
      <c r="AR160" s="3" t="s">
        <v>192</v>
      </c>
      <c r="AS160" s="3" t="s">
        <v>192</v>
      </c>
      <c r="AT160" s="3" t="s">
        <v>192</v>
      </c>
      <c r="AU160" s="3" t="s">
        <v>192</v>
      </c>
      <c r="AV160" s="3" t="s">
        <v>192</v>
      </c>
      <c r="AW160" s="3" t="s">
        <v>192</v>
      </c>
      <c r="AX160" s="3" t="s">
        <v>192</v>
      </c>
      <c r="AY160" s="3" t="s">
        <v>192</v>
      </c>
      <c r="AZ160" s="3" t="s">
        <v>192</v>
      </c>
      <c r="BA160" s="3" t="s">
        <v>192</v>
      </c>
      <c r="BB160" s="3" t="s">
        <v>192</v>
      </c>
      <c r="BC160" s="3" t="s">
        <v>192</v>
      </c>
      <c r="BD160" s="3" t="s">
        <v>192</v>
      </c>
      <c r="BE160" s="3" t="s">
        <v>192</v>
      </c>
      <c r="BF160" s="3" t="s">
        <v>192</v>
      </c>
      <c r="BG160" s="3" t="s">
        <v>192</v>
      </c>
      <c r="BH160" s="3" t="s">
        <v>192</v>
      </c>
      <c r="BI160" s="3" t="s">
        <v>192</v>
      </c>
      <c r="BJ160" s="3" t="s">
        <v>192</v>
      </c>
      <c r="BK160" s="3" t="s">
        <v>192</v>
      </c>
      <c r="BL160" s="3">
        <v>1</v>
      </c>
      <c r="BM160" s="3" t="s">
        <v>192</v>
      </c>
      <c r="BN160" s="3" t="s">
        <v>192</v>
      </c>
      <c r="BO160" s="3" t="s">
        <v>192</v>
      </c>
      <c r="BP160" s="3" t="s">
        <v>192</v>
      </c>
      <c r="BQ160" s="3" t="s">
        <v>192</v>
      </c>
      <c r="BR160" s="3" t="s">
        <v>192</v>
      </c>
      <c r="BS160" s="3">
        <v>1</v>
      </c>
      <c r="BT160" s="3" t="s">
        <v>192</v>
      </c>
      <c r="BU160" s="3" t="s">
        <v>192</v>
      </c>
      <c r="BV160" s="3" t="s">
        <v>192</v>
      </c>
      <c r="BW160" s="3" t="s">
        <v>192</v>
      </c>
      <c r="BX160" s="3" t="s">
        <v>192</v>
      </c>
      <c r="BY160" s="3" t="s">
        <v>192</v>
      </c>
      <c r="BZ160" s="3" t="s">
        <v>192</v>
      </c>
      <c r="CA160" s="3" t="s">
        <v>192</v>
      </c>
      <c r="CB160" s="3" t="s">
        <v>192</v>
      </c>
      <c r="CC160" s="3" t="s">
        <v>192</v>
      </c>
      <c r="CD160" s="3" t="s">
        <v>192</v>
      </c>
      <c r="CE160" s="3" t="s">
        <v>192</v>
      </c>
      <c r="CF160" s="3" t="s">
        <v>192</v>
      </c>
      <c r="CG160" s="3">
        <v>1</v>
      </c>
      <c r="CH160" s="3" t="s">
        <v>192</v>
      </c>
      <c r="CI160" s="3" t="s">
        <v>192</v>
      </c>
      <c r="CJ160" s="3" t="s">
        <v>192</v>
      </c>
      <c r="CK160" s="3" t="s">
        <v>192</v>
      </c>
      <c r="CL160" s="3" t="s">
        <v>192</v>
      </c>
      <c r="CM160" s="3" t="s">
        <v>192</v>
      </c>
      <c r="CN160" s="3" t="s">
        <v>192</v>
      </c>
      <c r="CO160" s="3" t="s">
        <v>192</v>
      </c>
      <c r="CP160" s="3" t="s">
        <v>192</v>
      </c>
      <c r="CQ160" s="3" t="s">
        <v>192</v>
      </c>
      <c r="CR160" s="3" t="s">
        <v>192</v>
      </c>
      <c r="CS160" s="3" t="s">
        <v>192</v>
      </c>
      <c r="CT160" s="1">
        <f>SUM(Table7[[#This Row],[Acyl_amino_acids]:[T3PKS]])</f>
        <v>3</v>
      </c>
      <c r="CU160" s="3" t="s">
        <v>192</v>
      </c>
      <c r="CW160" s="1">
        <f>Table7[[#This Row],[NRPS]]</f>
        <v>1</v>
      </c>
      <c r="CX160" s="1">
        <f>SUM(CP160,CR160,CS160,Table7[[#This Row],[T1PKS, T3PKS]])</f>
        <v>0</v>
      </c>
      <c r="CY160" s="1">
        <f t="shared" si="2"/>
        <v>1</v>
      </c>
      <c r="CZ160" s="1">
        <f>Table7[[#This Row],[Terpene]]</f>
        <v>1</v>
      </c>
      <c r="DA160" s="1">
        <f>SUM(Table7[[#This Row],[Thiopeptide]],BH160,BF160,BE160,BC160,AZ160,AX160,AW160,AJ160,AH160,N160,L160,J160,H160,I160,K160,R160,Q160,Table7[[#This Row],[Cyanobactin, LAP]])</f>
        <v>0</v>
      </c>
      <c r="DB160" s="1">
        <f>SUM(CO160,CN160,CL160,CK160,CJ160,CI160,CH160,CF160,CE160,CD160,CB160,CA160,BZ160,BY160,BX160,BW160,BV160,BT160,BR160,BQ160,BP160,BO160,BM160,BK160,BJ160,BI160,BG160,BD160,BB160,BA160,AY160,AV160,AU160,AT160,AS160,AR160,AQ160,AP160,AO160,AN160,AM160,AL160,AK160,AG160,AF160,AE160,AD160,AC160,AB160,AA160,Z160,Y160,X160,W160,V160,U160,T160,S160,P160,O160,M160,Table7[[#This Row],[Acyl_amino_acids]],E160,F160,G160,)</f>
        <v>0</v>
      </c>
    </row>
    <row r="161" spans="1:106" x14ac:dyDescent="0.25">
      <c r="A161" s="9" t="s">
        <v>691</v>
      </c>
      <c r="B161" s="1" t="s">
        <v>435</v>
      </c>
      <c r="C161" s="1" t="s">
        <v>395</v>
      </c>
      <c r="D161" s="1" t="s">
        <v>192</v>
      </c>
      <c r="E161" s="1" t="s">
        <v>192</v>
      </c>
      <c r="F161" s="1" t="s">
        <v>192</v>
      </c>
      <c r="G161" s="1" t="s">
        <v>192</v>
      </c>
      <c r="H161" s="1">
        <v>3</v>
      </c>
      <c r="I161" s="1" t="s">
        <v>192</v>
      </c>
      <c r="J161" s="1" t="s">
        <v>192</v>
      </c>
      <c r="K161" s="1" t="s">
        <v>192</v>
      </c>
      <c r="L161" s="1" t="s">
        <v>192</v>
      </c>
      <c r="M161" s="1" t="s">
        <v>192</v>
      </c>
      <c r="N161" s="1" t="s">
        <v>192</v>
      </c>
      <c r="O161" s="1" t="s">
        <v>192</v>
      </c>
      <c r="P161" s="1" t="s">
        <v>192</v>
      </c>
      <c r="Q161" s="1" t="s">
        <v>192</v>
      </c>
      <c r="R161" s="1" t="s">
        <v>192</v>
      </c>
      <c r="S161" s="1" t="s">
        <v>192</v>
      </c>
      <c r="T161" s="1" t="s">
        <v>192</v>
      </c>
      <c r="U161" s="1" t="s">
        <v>192</v>
      </c>
      <c r="V161" s="1" t="s">
        <v>192</v>
      </c>
      <c r="W161" s="1" t="s">
        <v>192</v>
      </c>
      <c r="X161" s="1" t="s">
        <v>192</v>
      </c>
      <c r="Y161" s="1" t="s">
        <v>192</v>
      </c>
      <c r="Z161" s="1" t="s">
        <v>192</v>
      </c>
      <c r="AA161" s="1" t="s">
        <v>192</v>
      </c>
      <c r="AB161" s="1" t="s">
        <v>192</v>
      </c>
      <c r="AC161" s="1" t="s">
        <v>192</v>
      </c>
      <c r="AD161" s="1" t="s">
        <v>192</v>
      </c>
      <c r="AE161" s="1" t="s">
        <v>192</v>
      </c>
      <c r="AF161" s="1" t="s">
        <v>192</v>
      </c>
      <c r="AG161" s="1" t="s">
        <v>192</v>
      </c>
      <c r="AH161" s="1" t="s">
        <v>192</v>
      </c>
      <c r="AI161" s="1" t="s">
        <v>192</v>
      </c>
      <c r="AJ161" s="1" t="s">
        <v>192</v>
      </c>
      <c r="AK161" s="1" t="s">
        <v>192</v>
      </c>
      <c r="AL161" s="1" t="s">
        <v>192</v>
      </c>
      <c r="AM161" s="1" t="s">
        <v>192</v>
      </c>
      <c r="AN161" s="1" t="s">
        <v>192</v>
      </c>
      <c r="AO161" s="1" t="s">
        <v>192</v>
      </c>
      <c r="AP161" s="1" t="s">
        <v>192</v>
      </c>
      <c r="AQ161" s="1" t="s">
        <v>192</v>
      </c>
      <c r="AR161" s="1" t="s">
        <v>192</v>
      </c>
      <c r="AS161" s="1" t="s">
        <v>192</v>
      </c>
      <c r="AT161" s="1" t="s">
        <v>192</v>
      </c>
      <c r="AU161" s="1" t="s">
        <v>192</v>
      </c>
      <c r="AV161" s="1" t="s">
        <v>192</v>
      </c>
      <c r="AW161" s="1" t="s">
        <v>192</v>
      </c>
      <c r="AX161" s="1" t="s">
        <v>192</v>
      </c>
      <c r="AY161" s="1" t="s">
        <v>192</v>
      </c>
      <c r="AZ161" s="1" t="s">
        <v>192</v>
      </c>
      <c r="BA161" s="1" t="s">
        <v>192</v>
      </c>
      <c r="BB161" s="1" t="s">
        <v>192</v>
      </c>
      <c r="BC161" s="1" t="s">
        <v>192</v>
      </c>
      <c r="BD161" s="1" t="s">
        <v>192</v>
      </c>
      <c r="BE161" s="1" t="s">
        <v>192</v>
      </c>
      <c r="BF161" s="1" t="s">
        <v>192</v>
      </c>
      <c r="BG161" s="1" t="s">
        <v>192</v>
      </c>
      <c r="BH161" s="1" t="s">
        <v>192</v>
      </c>
      <c r="BI161" s="1" t="s">
        <v>192</v>
      </c>
      <c r="BJ161" s="1" t="s">
        <v>192</v>
      </c>
      <c r="BK161" s="1" t="s">
        <v>192</v>
      </c>
      <c r="BL161" s="1" t="s">
        <v>192</v>
      </c>
      <c r="BM161" s="1" t="s">
        <v>192</v>
      </c>
      <c r="BN161" s="1" t="s">
        <v>192</v>
      </c>
      <c r="BO161" s="1" t="s">
        <v>192</v>
      </c>
      <c r="BP161" s="1" t="s">
        <v>192</v>
      </c>
      <c r="BQ161" s="1" t="s">
        <v>192</v>
      </c>
      <c r="BR161" s="1" t="s">
        <v>192</v>
      </c>
      <c r="BS161" s="1" t="s">
        <v>192</v>
      </c>
      <c r="BT161" s="1" t="s">
        <v>192</v>
      </c>
      <c r="BU161" s="1" t="s">
        <v>192</v>
      </c>
      <c r="BV161" s="1" t="s">
        <v>192</v>
      </c>
      <c r="BW161" s="1" t="s">
        <v>192</v>
      </c>
      <c r="BX161" s="1" t="s">
        <v>192</v>
      </c>
      <c r="BY161" s="1" t="s">
        <v>192</v>
      </c>
      <c r="BZ161" s="1" t="s">
        <v>192</v>
      </c>
      <c r="CA161" s="1" t="s">
        <v>192</v>
      </c>
      <c r="CB161" s="1" t="s">
        <v>192</v>
      </c>
      <c r="CC161" s="1" t="s">
        <v>192</v>
      </c>
      <c r="CD161" s="1" t="s">
        <v>192</v>
      </c>
      <c r="CE161" s="1" t="s">
        <v>192</v>
      </c>
      <c r="CF161" s="1" t="s">
        <v>192</v>
      </c>
      <c r="CG161" s="1">
        <v>2</v>
      </c>
      <c r="CH161" s="1" t="s">
        <v>192</v>
      </c>
      <c r="CI161" s="1" t="s">
        <v>192</v>
      </c>
      <c r="CJ161" s="1" t="s">
        <v>192</v>
      </c>
      <c r="CK161" s="1" t="s">
        <v>192</v>
      </c>
      <c r="CL161" s="1" t="s">
        <v>192</v>
      </c>
      <c r="CM161" s="1" t="s">
        <v>192</v>
      </c>
      <c r="CN161" s="1" t="s">
        <v>192</v>
      </c>
      <c r="CO161" s="1" t="s">
        <v>192</v>
      </c>
      <c r="CP161" s="1" t="s">
        <v>192</v>
      </c>
      <c r="CQ161" s="1" t="s">
        <v>192</v>
      </c>
      <c r="CR161" s="1" t="s">
        <v>192</v>
      </c>
      <c r="CS161" s="1" t="s">
        <v>192</v>
      </c>
      <c r="CT161" s="1">
        <f>SUM(Table7[[#This Row],[Acyl_amino_acids]:[T3PKS]])</f>
        <v>5</v>
      </c>
      <c r="CU161" s="1" t="s">
        <v>192</v>
      </c>
      <c r="CW161" s="1" t="str">
        <f>Table7[[#This Row],[NRPS]]</f>
        <v>-</v>
      </c>
      <c r="CX161" s="1">
        <f>SUM(CP161,CR161,CS161,Table7[[#This Row],[T1PKS, T3PKS]])</f>
        <v>0</v>
      </c>
      <c r="CY161" s="1">
        <f t="shared" si="2"/>
        <v>0</v>
      </c>
      <c r="CZ161" s="1">
        <f>Table7[[#This Row],[Terpene]]</f>
        <v>2</v>
      </c>
      <c r="DA161" s="1">
        <f>SUM(Table7[[#This Row],[Thiopeptide]],BH161,BF161,BE161,BC161,AZ161,AX161,AW161,AJ161,AH161,N161,L161,J161,H161,I161,K161,R161,Q161,Table7[[#This Row],[Cyanobactin, LAP]])</f>
        <v>3</v>
      </c>
      <c r="DB161" s="1">
        <f>SUM(CO161,CN161,CL161,CK161,CJ161,CI161,CH161,CF161,CE161,CD161,CB161,CA161,BZ161,BY161,BX161,BW161,BV161,BT161,BR161,BQ161,BP161,BO161,BM161,BK161,BJ161,BI161,BG161,BD161,BB161,BA161,AY161,AV161,AU161,AT161,AS161,AR161,AQ161,AP161,AO161,AN161,AM161,AL161,AK161,AG161,AF161,AE161,AD161,AC161,AB161,AA161,Z161,Y161,X161,W161,V161,U161,T161,S161,P161,O161,M161,Table7[[#This Row],[Acyl_amino_acids]],E161,F161,G161,)</f>
        <v>0</v>
      </c>
    </row>
    <row r="162" spans="1:106" x14ac:dyDescent="0.25">
      <c r="A162" s="9" t="s">
        <v>802</v>
      </c>
      <c r="B162" s="1" t="s">
        <v>435</v>
      </c>
      <c r="C162" s="1" t="s">
        <v>603</v>
      </c>
      <c r="D162" s="3" t="s">
        <v>192</v>
      </c>
      <c r="E162" s="3" t="s">
        <v>192</v>
      </c>
      <c r="F162" s="3" t="s">
        <v>192</v>
      </c>
      <c r="G162" s="3" t="s">
        <v>192</v>
      </c>
      <c r="H162" s="3">
        <v>2</v>
      </c>
      <c r="I162" s="3" t="s">
        <v>192</v>
      </c>
      <c r="J162" s="3" t="s">
        <v>192</v>
      </c>
      <c r="K162" s="3" t="s">
        <v>192</v>
      </c>
      <c r="L162" s="3" t="s">
        <v>192</v>
      </c>
      <c r="M162" s="3" t="s">
        <v>192</v>
      </c>
      <c r="N162" s="3" t="s">
        <v>192</v>
      </c>
      <c r="O162" s="3" t="s">
        <v>192</v>
      </c>
      <c r="P162" s="3" t="s">
        <v>192</v>
      </c>
      <c r="Q162" s="3" t="s">
        <v>192</v>
      </c>
      <c r="R162" s="3" t="s">
        <v>192</v>
      </c>
      <c r="S162" s="3" t="s">
        <v>192</v>
      </c>
      <c r="T162" s="3" t="s">
        <v>192</v>
      </c>
      <c r="U162" s="3" t="s">
        <v>192</v>
      </c>
      <c r="V162" s="3" t="s">
        <v>192</v>
      </c>
      <c r="W162" s="3" t="s">
        <v>192</v>
      </c>
      <c r="X162" s="3" t="s">
        <v>192</v>
      </c>
      <c r="Y162" s="3" t="s">
        <v>192</v>
      </c>
      <c r="Z162" s="3" t="s">
        <v>192</v>
      </c>
      <c r="AA162" s="3" t="s">
        <v>192</v>
      </c>
      <c r="AB162" s="3" t="s">
        <v>192</v>
      </c>
      <c r="AC162" s="3" t="s">
        <v>192</v>
      </c>
      <c r="AD162" s="3" t="s">
        <v>192</v>
      </c>
      <c r="AE162" s="3" t="s">
        <v>192</v>
      </c>
      <c r="AF162" s="3" t="s">
        <v>192</v>
      </c>
      <c r="AG162" s="3" t="s">
        <v>192</v>
      </c>
      <c r="AH162" s="3" t="s">
        <v>192</v>
      </c>
      <c r="AI162" s="3" t="s">
        <v>192</v>
      </c>
      <c r="AJ162" s="3" t="s">
        <v>192</v>
      </c>
      <c r="AK162" s="3" t="s">
        <v>192</v>
      </c>
      <c r="AL162" s="3" t="s">
        <v>192</v>
      </c>
      <c r="AM162" s="3" t="s">
        <v>192</v>
      </c>
      <c r="AN162" s="3" t="s">
        <v>192</v>
      </c>
      <c r="AO162" s="3" t="s">
        <v>192</v>
      </c>
      <c r="AP162" s="3" t="s">
        <v>192</v>
      </c>
      <c r="AQ162" s="3" t="s">
        <v>192</v>
      </c>
      <c r="AR162" s="3" t="s">
        <v>192</v>
      </c>
      <c r="AS162" s="3" t="s">
        <v>192</v>
      </c>
      <c r="AT162" s="3" t="s">
        <v>192</v>
      </c>
      <c r="AU162" s="3" t="s">
        <v>192</v>
      </c>
      <c r="AV162" s="3" t="s">
        <v>192</v>
      </c>
      <c r="AW162" s="3" t="s">
        <v>192</v>
      </c>
      <c r="AX162" s="3" t="s">
        <v>192</v>
      </c>
      <c r="AY162" s="3" t="s">
        <v>192</v>
      </c>
      <c r="AZ162" s="3" t="s">
        <v>192</v>
      </c>
      <c r="BA162" s="3" t="s">
        <v>192</v>
      </c>
      <c r="BB162" s="3" t="s">
        <v>192</v>
      </c>
      <c r="BC162" s="3" t="s">
        <v>192</v>
      </c>
      <c r="BD162" s="3" t="s">
        <v>192</v>
      </c>
      <c r="BE162" s="3" t="s">
        <v>192</v>
      </c>
      <c r="BF162" s="3" t="s">
        <v>192</v>
      </c>
      <c r="BG162" s="3" t="s">
        <v>192</v>
      </c>
      <c r="BH162" s="3" t="s">
        <v>192</v>
      </c>
      <c r="BI162" s="3" t="s">
        <v>192</v>
      </c>
      <c r="BJ162" s="3" t="s">
        <v>192</v>
      </c>
      <c r="BK162" s="3" t="s">
        <v>192</v>
      </c>
      <c r="BL162" s="3" t="s">
        <v>192</v>
      </c>
      <c r="BM162" s="3" t="s">
        <v>192</v>
      </c>
      <c r="BN162" s="3" t="s">
        <v>192</v>
      </c>
      <c r="BO162" s="3" t="s">
        <v>192</v>
      </c>
      <c r="BP162" s="3" t="s">
        <v>192</v>
      </c>
      <c r="BQ162" s="3" t="s">
        <v>192</v>
      </c>
      <c r="BR162" s="3" t="s">
        <v>192</v>
      </c>
      <c r="BS162" s="3">
        <v>1</v>
      </c>
      <c r="BT162" s="3" t="s">
        <v>192</v>
      </c>
      <c r="BU162" s="3" t="s">
        <v>192</v>
      </c>
      <c r="BV162" s="3" t="s">
        <v>192</v>
      </c>
      <c r="BW162" s="3" t="s">
        <v>192</v>
      </c>
      <c r="BX162" s="3" t="s">
        <v>192</v>
      </c>
      <c r="BY162" s="3" t="s">
        <v>192</v>
      </c>
      <c r="BZ162" s="3" t="s">
        <v>192</v>
      </c>
      <c r="CA162" s="3" t="s">
        <v>192</v>
      </c>
      <c r="CB162" s="3" t="s">
        <v>192</v>
      </c>
      <c r="CC162" s="3" t="s">
        <v>192</v>
      </c>
      <c r="CD162" s="3" t="s">
        <v>192</v>
      </c>
      <c r="CE162" s="3" t="s">
        <v>192</v>
      </c>
      <c r="CF162" s="3" t="s">
        <v>192</v>
      </c>
      <c r="CG162" s="3">
        <v>2</v>
      </c>
      <c r="CH162" s="3" t="s">
        <v>192</v>
      </c>
      <c r="CI162" s="3" t="s">
        <v>192</v>
      </c>
      <c r="CJ162" s="3" t="s">
        <v>192</v>
      </c>
      <c r="CK162" s="3" t="s">
        <v>192</v>
      </c>
      <c r="CL162" s="3" t="s">
        <v>192</v>
      </c>
      <c r="CM162" s="3" t="s">
        <v>192</v>
      </c>
      <c r="CN162" s="3" t="s">
        <v>192</v>
      </c>
      <c r="CO162" s="3" t="s">
        <v>192</v>
      </c>
      <c r="CP162" s="3" t="s">
        <v>192</v>
      </c>
      <c r="CQ162" s="3" t="s">
        <v>192</v>
      </c>
      <c r="CR162" s="3" t="s">
        <v>192</v>
      </c>
      <c r="CS162" s="3">
        <v>1</v>
      </c>
      <c r="CT162" s="1">
        <f>SUM(Table7[[#This Row],[Acyl_amino_acids]:[T3PKS]])</f>
        <v>6</v>
      </c>
      <c r="CU162" s="3" t="s">
        <v>192</v>
      </c>
      <c r="CW162" s="1" t="str">
        <f>Table7[[#This Row],[NRPS]]</f>
        <v>-</v>
      </c>
      <c r="CX162" s="1">
        <f>SUM(CP162,CR162,CS162,Table7[[#This Row],[T1PKS, T3PKS]])</f>
        <v>1</v>
      </c>
      <c r="CY162" s="1">
        <f t="shared" si="2"/>
        <v>1</v>
      </c>
      <c r="CZ162" s="1">
        <f>Table7[[#This Row],[Terpene]]</f>
        <v>2</v>
      </c>
      <c r="DA162" s="1">
        <f>SUM(Table7[[#This Row],[Thiopeptide]],BH162,BF162,BE162,BC162,AZ162,AX162,AW162,AJ162,AH162,N162,L162,J162,H162,I162,K162,R162,Q162,Table7[[#This Row],[Cyanobactin, LAP]])</f>
        <v>2</v>
      </c>
      <c r="DB162" s="1">
        <f>SUM(CO162,CN162,CL162,CK162,CJ162,CI162,CH162,CF162,CE162,CD162,CB162,CA162,BZ162,BY162,BX162,BW162,BV162,BT162,BR162,BQ162,BP162,BO162,BM162,BK162,BJ162,BI162,BG162,BD162,BB162,BA162,AY162,AV162,AU162,AT162,AS162,AR162,AQ162,AP162,AO162,AN162,AM162,AL162,AK162,AG162,AF162,AE162,AD162,AC162,AB162,AA162,Z162,Y162,X162,W162,V162,U162,T162,S162,P162,O162,M162,Table7[[#This Row],[Acyl_amino_acids]],E162,F162,G162,)</f>
        <v>0</v>
      </c>
    </row>
    <row r="163" spans="1:106" x14ac:dyDescent="0.25">
      <c r="A163" s="9" t="s">
        <v>761</v>
      </c>
      <c r="B163" s="1" t="s">
        <v>435</v>
      </c>
      <c r="C163" s="1" t="s">
        <v>396</v>
      </c>
      <c r="D163" s="1" t="s">
        <v>192</v>
      </c>
      <c r="E163" s="3" t="s">
        <v>192</v>
      </c>
      <c r="F163" s="3" t="s">
        <v>192</v>
      </c>
      <c r="G163" s="3" t="s">
        <v>192</v>
      </c>
      <c r="H163" s="3">
        <v>4</v>
      </c>
      <c r="I163" s="3" t="s">
        <v>192</v>
      </c>
      <c r="J163" s="3" t="s">
        <v>192</v>
      </c>
      <c r="K163" s="3" t="s">
        <v>192</v>
      </c>
      <c r="L163" s="3" t="s">
        <v>192</v>
      </c>
      <c r="M163" s="3" t="s">
        <v>192</v>
      </c>
      <c r="N163" s="3" t="s">
        <v>192</v>
      </c>
      <c r="O163" s="3" t="s">
        <v>192</v>
      </c>
      <c r="P163" s="3" t="s">
        <v>192</v>
      </c>
      <c r="Q163" s="3" t="s">
        <v>192</v>
      </c>
      <c r="R163" s="3" t="s">
        <v>192</v>
      </c>
      <c r="S163" s="3" t="s">
        <v>192</v>
      </c>
      <c r="T163" s="3" t="s">
        <v>192</v>
      </c>
      <c r="U163" s="3" t="s">
        <v>192</v>
      </c>
      <c r="V163" s="3" t="s">
        <v>192</v>
      </c>
      <c r="W163" s="3" t="s">
        <v>192</v>
      </c>
      <c r="X163" s="3" t="s">
        <v>192</v>
      </c>
      <c r="Y163" s="3" t="s">
        <v>192</v>
      </c>
      <c r="Z163" s="3" t="s">
        <v>192</v>
      </c>
      <c r="AA163" s="3" t="s">
        <v>192</v>
      </c>
      <c r="AB163" s="3" t="s">
        <v>192</v>
      </c>
      <c r="AC163" s="3" t="s">
        <v>192</v>
      </c>
      <c r="AD163" s="3" t="s">
        <v>192</v>
      </c>
      <c r="AE163" s="3" t="s">
        <v>192</v>
      </c>
      <c r="AF163" s="3" t="s">
        <v>192</v>
      </c>
      <c r="AG163" s="3" t="s">
        <v>192</v>
      </c>
      <c r="AH163" s="3" t="s">
        <v>192</v>
      </c>
      <c r="AI163" s="3" t="s">
        <v>192</v>
      </c>
      <c r="AJ163" s="3" t="s">
        <v>192</v>
      </c>
      <c r="AK163" s="3" t="s">
        <v>192</v>
      </c>
      <c r="AL163" s="3" t="s">
        <v>192</v>
      </c>
      <c r="AM163" s="3" t="s">
        <v>192</v>
      </c>
      <c r="AN163" s="3" t="s">
        <v>192</v>
      </c>
      <c r="AO163" s="3" t="s">
        <v>192</v>
      </c>
      <c r="AP163" s="3" t="s">
        <v>192</v>
      </c>
      <c r="AQ163" s="3" t="s">
        <v>192</v>
      </c>
      <c r="AR163" s="3" t="s">
        <v>192</v>
      </c>
      <c r="AS163" s="3" t="s">
        <v>192</v>
      </c>
      <c r="AT163" s="3" t="s">
        <v>192</v>
      </c>
      <c r="AU163" s="3" t="s">
        <v>192</v>
      </c>
      <c r="AV163" s="3" t="s">
        <v>192</v>
      </c>
      <c r="AW163" s="3" t="s">
        <v>192</v>
      </c>
      <c r="AX163" s="3" t="s">
        <v>192</v>
      </c>
      <c r="AY163" s="3" t="s">
        <v>192</v>
      </c>
      <c r="AZ163" s="3" t="s">
        <v>192</v>
      </c>
      <c r="BA163" s="3" t="s">
        <v>192</v>
      </c>
      <c r="BB163" s="3" t="s">
        <v>192</v>
      </c>
      <c r="BC163" s="3" t="s">
        <v>192</v>
      </c>
      <c r="BD163" s="3" t="s">
        <v>192</v>
      </c>
      <c r="BE163" s="3" t="s">
        <v>192</v>
      </c>
      <c r="BF163" s="3" t="s">
        <v>192</v>
      </c>
      <c r="BG163" s="3" t="s">
        <v>192</v>
      </c>
      <c r="BH163" s="3" t="s">
        <v>192</v>
      </c>
      <c r="BI163" s="3" t="s">
        <v>192</v>
      </c>
      <c r="BJ163" s="3" t="s">
        <v>192</v>
      </c>
      <c r="BK163" s="3" t="s">
        <v>192</v>
      </c>
      <c r="BL163" s="3" t="s">
        <v>192</v>
      </c>
      <c r="BM163" s="3" t="s">
        <v>192</v>
      </c>
      <c r="BN163" s="3" t="s">
        <v>192</v>
      </c>
      <c r="BO163" s="3" t="s">
        <v>192</v>
      </c>
      <c r="BP163" s="3" t="s">
        <v>192</v>
      </c>
      <c r="BQ163" s="3" t="s">
        <v>192</v>
      </c>
      <c r="BR163" s="3" t="s">
        <v>192</v>
      </c>
      <c r="BS163" s="3" t="s">
        <v>192</v>
      </c>
      <c r="BT163" s="3" t="s">
        <v>192</v>
      </c>
      <c r="BU163" s="3" t="s">
        <v>192</v>
      </c>
      <c r="BV163" s="3" t="s">
        <v>192</v>
      </c>
      <c r="BW163" s="3" t="s">
        <v>192</v>
      </c>
      <c r="BX163" s="3" t="s">
        <v>192</v>
      </c>
      <c r="BY163" s="3" t="s">
        <v>192</v>
      </c>
      <c r="BZ163" s="3" t="s">
        <v>192</v>
      </c>
      <c r="CA163" s="3" t="s">
        <v>192</v>
      </c>
      <c r="CB163" s="3" t="s">
        <v>192</v>
      </c>
      <c r="CC163" s="3" t="s">
        <v>192</v>
      </c>
      <c r="CD163" s="3" t="s">
        <v>192</v>
      </c>
      <c r="CE163" s="3" t="s">
        <v>192</v>
      </c>
      <c r="CF163" s="3" t="s">
        <v>192</v>
      </c>
      <c r="CG163" s="3">
        <v>2</v>
      </c>
      <c r="CH163" s="3" t="s">
        <v>192</v>
      </c>
      <c r="CI163" s="3" t="s">
        <v>192</v>
      </c>
      <c r="CJ163" s="3" t="s">
        <v>192</v>
      </c>
      <c r="CK163" s="3" t="s">
        <v>192</v>
      </c>
      <c r="CL163" s="3" t="s">
        <v>192</v>
      </c>
      <c r="CM163" s="3" t="s">
        <v>192</v>
      </c>
      <c r="CN163" s="3" t="s">
        <v>192</v>
      </c>
      <c r="CO163" s="3" t="s">
        <v>192</v>
      </c>
      <c r="CP163" s="3" t="s">
        <v>192</v>
      </c>
      <c r="CQ163" s="3" t="s">
        <v>192</v>
      </c>
      <c r="CR163" s="3" t="s">
        <v>192</v>
      </c>
      <c r="CS163" s="3">
        <v>1</v>
      </c>
      <c r="CT163" s="1">
        <f>SUM(Table7[[#This Row],[Acyl_amino_acids]:[T3PKS]])</f>
        <v>7</v>
      </c>
      <c r="CU163" s="3" t="s">
        <v>192</v>
      </c>
      <c r="CW163" s="1" t="str">
        <f>Table7[[#This Row],[NRPS]]</f>
        <v>-</v>
      </c>
      <c r="CX163" s="1">
        <f>SUM(CP163,CR163,CS163,Table7[[#This Row],[T1PKS, T3PKS]])</f>
        <v>1</v>
      </c>
      <c r="CY163" s="1">
        <f t="shared" si="2"/>
        <v>0</v>
      </c>
      <c r="CZ163" s="1">
        <f>Table7[[#This Row],[Terpene]]</f>
        <v>2</v>
      </c>
      <c r="DA163" s="1">
        <f>SUM(Table7[[#This Row],[Thiopeptide]],BH163,BF163,BE163,BC163,AZ163,AX163,AW163,AJ163,AH163,N163,L163,J163,H163,I163,K163,R163,Q163,Table7[[#This Row],[Cyanobactin, LAP]])</f>
        <v>4</v>
      </c>
      <c r="DB163" s="1">
        <f>SUM(CO163,CN163,CL163,CK163,CJ163,CI163,CH163,CF163,CE163,CD163,CB163,CA163,BZ163,BY163,BX163,BW163,BV163,BT163,BR163,BQ163,BP163,BO163,BM163,BK163,BJ163,BI163,BG163,BD163,BB163,BA163,AY163,AV163,AU163,AT163,AS163,AR163,AQ163,AP163,AO163,AN163,AM163,AL163,AK163,AG163,AF163,AE163,AD163,AC163,AB163,AA163,Z163,Y163,X163,W163,V163,U163,T163,S163,P163,O163,M163,Table7[[#This Row],[Acyl_amino_acids]],E163,F163,G163,)</f>
        <v>0</v>
      </c>
    </row>
    <row r="164" spans="1:106" x14ac:dyDescent="0.25">
      <c r="A164" s="9" t="s">
        <v>739</v>
      </c>
      <c r="B164" s="1" t="s">
        <v>435</v>
      </c>
      <c r="C164" s="1" t="s">
        <v>397</v>
      </c>
      <c r="D164" s="1" t="s">
        <v>192</v>
      </c>
      <c r="E164" s="3" t="s">
        <v>192</v>
      </c>
      <c r="F164" s="3" t="s">
        <v>192</v>
      </c>
      <c r="G164" s="3" t="s">
        <v>192</v>
      </c>
      <c r="H164" s="3">
        <v>1</v>
      </c>
      <c r="I164" s="3" t="s">
        <v>192</v>
      </c>
      <c r="J164" s="3" t="s">
        <v>192</v>
      </c>
      <c r="K164" s="3" t="s">
        <v>192</v>
      </c>
      <c r="L164" s="3" t="s">
        <v>192</v>
      </c>
      <c r="M164" s="3" t="s">
        <v>192</v>
      </c>
      <c r="N164" s="3" t="s">
        <v>192</v>
      </c>
      <c r="O164" s="3" t="s">
        <v>192</v>
      </c>
      <c r="P164" s="3" t="s">
        <v>192</v>
      </c>
      <c r="Q164" s="3" t="s">
        <v>192</v>
      </c>
      <c r="R164" s="3" t="s">
        <v>192</v>
      </c>
      <c r="S164" s="3" t="s">
        <v>192</v>
      </c>
      <c r="T164" s="3" t="s">
        <v>192</v>
      </c>
      <c r="U164" s="3" t="s">
        <v>192</v>
      </c>
      <c r="V164" s="3" t="s">
        <v>192</v>
      </c>
      <c r="W164" s="3" t="s">
        <v>192</v>
      </c>
      <c r="X164" s="3" t="s">
        <v>192</v>
      </c>
      <c r="Y164" s="3" t="s">
        <v>192</v>
      </c>
      <c r="Z164" s="3" t="s">
        <v>192</v>
      </c>
      <c r="AA164" s="3" t="s">
        <v>192</v>
      </c>
      <c r="AB164" s="3" t="s">
        <v>192</v>
      </c>
      <c r="AC164" s="3" t="s">
        <v>192</v>
      </c>
      <c r="AD164" s="3" t="s">
        <v>192</v>
      </c>
      <c r="AE164" s="3" t="s">
        <v>192</v>
      </c>
      <c r="AF164" s="3" t="s">
        <v>192</v>
      </c>
      <c r="AG164" s="3" t="s">
        <v>192</v>
      </c>
      <c r="AH164" s="3" t="s">
        <v>192</v>
      </c>
      <c r="AI164" s="3" t="s">
        <v>192</v>
      </c>
      <c r="AJ164" s="3" t="s">
        <v>192</v>
      </c>
      <c r="AK164" s="3" t="s">
        <v>192</v>
      </c>
      <c r="AL164" s="3" t="s">
        <v>192</v>
      </c>
      <c r="AM164" s="3" t="s">
        <v>192</v>
      </c>
      <c r="AN164" s="3" t="s">
        <v>192</v>
      </c>
      <c r="AO164" s="3" t="s">
        <v>192</v>
      </c>
      <c r="AP164" s="3" t="s">
        <v>192</v>
      </c>
      <c r="AQ164" s="3" t="s">
        <v>192</v>
      </c>
      <c r="AR164" s="3" t="s">
        <v>192</v>
      </c>
      <c r="AS164" s="3" t="s">
        <v>192</v>
      </c>
      <c r="AT164" s="3" t="s">
        <v>192</v>
      </c>
      <c r="AU164" s="3" t="s">
        <v>192</v>
      </c>
      <c r="AV164" s="3" t="s">
        <v>192</v>
      </c>
      <c r="AW164" s="3" t="s">
        <v>192</v>
      </c>
      <c r="AX164" s="3" t="s">
        <v>192</v>
      </c>
      <c r="AY164" s="3" t="s">
        <v>192</v>
      </c>
      <c r="AZ164" s="3" t="s">
        <v>192</v>
      </c>
      <c r="BA164" s="3" t="s">
        <v>192</v>
      </c>
      <c r="BB164" s="3" t="s">
        <v>192</v>
      </c>
      <c r="BC164" s="3" t="s">
        <v>192</v>
      </c>
      <c r="BD164" s="3" t="s">
        <v>192</v>
      </c>
      <c r="BE164" s="3" t="s">
        <v>192</v>
      </c>
      <c r="BF164" s="3" t="s">
        <v>192</v>
      </c>
      <c r="BG164" s="3" t="s">
        <v>192</v>
      </c>
      <c r="BH164" s="3" t="s">
        <v>192</v>
      </c>
      <c r="BI164" s="3" t="s">
        <v>192</v>
      </c>
      <c r="BJ164" s="3" t="s">
        <v>192</v>
      </c>
      <c r="BK164" s="3" t="s">
        <v>192</v>
      </c>
      <c r="BL164" s="3" t="s">
        <v>192</v>
      </c>
      <c r="BM164" s="3" t="s">
        <v>192</v>
      </c>
      <c r="BN164" s="3" t="s">
        <v>192</v>
      </c>
      <c r="BO164" s="3" t="s">
        <v>192</v>
      </c>
      <c r="BP164" s="3" t="s">
        <v>192</v>
      </c>
      <c r="BQ164" s="3" t="s">
        <v>192</v>
      </c>
      <c r="BR164" s="3" t="s">
        <v>192</v>
      </c>
      <c r="BS164" s="3" t="s">
        <v>192</v>
      </c>
      <c r="BT164" s="3" t="s">
        <v>192</v>
      </c>
      <c r="BU164" s="3" t="s">
        <v>192</v>
      </c>
      <c r="BV164" s="3" t="s">
        <v>192</v>
      </c>
      <c r="BW164" s="3" t="s">
        <v>192</v>
      </c>
      <c r="BX164" s="3" t="s">
        <v>192</v>
      </c>
      <c r="BY164" s="3" t="s">
        <v>192</v>
      </c>
      <c r="BZ164" s="3" t="s">
        <v>192</v>
      </c>
      <c r="CA164" s="3" t="s">
        <v>192</v>
      </c>
      <c r="CB164" s="3" t="s">
        <v>192</v>
      </c>
      <c r="CC164" s="3" t="s">
        <v>192</v>
      </c>
      <c r="CD164" s="3" t="s">
        <v>192</v>
      </c>
      <c r="CE164" s="3" t="s">
        <v>192</v>
      </c>
      <c r="CF164" s="3" t="s">
        <v>192</v>
      </c>
      <c r="CG164" s="3">
        <v>2</v>
      </c>
      <c r="CH164" s="3" t="s">
        <v>192</v>
      </c>
      <c r="CI164" s="3" t="s">
        <v>192</v>
      </c>
      <c r="CJ164" s="3" t="s">
        <v>192</v>
      </c>
      <c r="CK164" s="3" t="s">
        <v>192</v>
      </c>
      <c r="CL164" s="3" t="s">
        <v>192</v>
      </c>
      <c r="CM164" s="3" t="s">
        <v>192</v>
      </c>
      <c r="CN164" s="3" t="s">
        <v>192</v>
      </c>
      <c r="CO164" s="3" t="s">
        <v>192</v>
      </c>
      <c r="CP164" s="3" t="s">
        <v>192</v>
      </c>
      <c r="CQ164" s="3" t="s">
        <v>192</v>
      </c>
      <c r="CR164" s="3" t="s">
        <v>192</v>
      </c>
      <c r="CS164" s="3" t="s">
        <v>192</v>
      </c>
      <c r="CT164" s="1">
        <f>SUM(Table7[[#This Row],[Acyl_amino_acids]:[T3PKS]])</f>
        <v>3</v>
      </c>
      <c r="CU164" s="3" t="s">
        <v>192</v>
      </c>
      <c r="CW164" s="1" t="str">
        <f>Table7[[#This Row],[NRPS]]</f>
        <v>-</v>
      </c>
      <c r="CX164" s="1">
        <f>SUM(CP164,CR164,CS164,Table7[[#This Row],[T1PKS, T3PKS]])</f>
        <v>0</v>
      </c>
      <c r="CY164" s="1">
        <f t="shared" si="2"/>
        <v>0</v>
      </c>
      <c r="CZ164" s="1">
        <f>Table7[[#This Row],[Terpene]]</f>
        <v>2</v>
      </c>
      <c r="DA164" s="1">
        <f>SUM(Table7[[#This Row],[Thiopeptide]],BH164,BF164,BE164,BC164,AZ164,AX164,AW164,AJ164,AH164,N164,L164,J164,H164,I164,K164,R164,Q164,Table7[[#This Row],[Cyanobactin, LAP]])</f>
        <v>1</v>
      </c>
      <c r="DB164" s="1">
        <f>SUM(CO164,CN164,CL164,CK164,CJ164,CI164,CH164,CF164,CE164,CD164,CB164,CA164,BZ164,BY164,BX164,BW164,BV164,BT164,BR164,BQ164,BP164,BO164,BM164,BK164,BJ164,BI164,BG164,BD164,BB164,BA164,AY164,AV164,AU164,AT164,AS164,AR164,AQ164,AP164,AO164,AN164,AM164,AL164,AK164,AG164,AF164,AE164,AD164,AC164,AB164,AA164,Z164,Y164,X164,W164,V164,U164,T164,S164,P164,O164,M164,Table7[[#This Row],[Acyl_amino_acids]],E164,F164,G164,)</f>
        <v>0</v>
      </c>
    </row>
    <row r="165" spans="1:106" x14ac:dyDescent="0.25">
      <c r="A165" s="9" t="s">
        <v>151</v>
      </c>
      <c r="B165" s="1" t="s">
        <v>435</v>
      </c>
      <c r="C165" s="1" t="s">
        <v>416</v>
      </c>
      <c r="D165" s="1" t="s">
        <v>192</v>
      </c>
      <c r="E165" s="1" t="s">
        <v>192</v>
      </c>
      <c r="F165" s="1" t="s">
        <v>192</v>
      </c>
      <c r="G165" s="1" t="s">
        <v>192</v>
      </c>
      <c r="H165" s="1">
        <v>8</v>
      </c>
      <c r="I165" s="1" t="s">
        <v>192</v>
      </c>
      <c r="J165" s="1" t="s">
        <v>192</v>
      </c>
      <c r="K165" s="1" t="s">
        <v>192</v>
      </c>
      <c r="L165" s="1" t="s">
        <v>192</v>
      </c>
      <c r="M165" s="1" t="s">
        <v>192</v>
      </c>
      <c r="N165" s="1" t="s">
        <v>192</v>
      </c>
      <c r="O165" s="1" t="s">
        <v>192</v>
      </c>
      <c r="P165" s="1" t="s">
        <v>192</v>
      </c>
      <c r="Q165" s="1" t="s">
        <v>192</v>
      </c>
      <c r="R165" s="1" t="s">
        <v>192</v>
      </c>
      <c r="S165" s="1" t="s">
        <v>192</v>
      </c>
      <c r="T165" s="1" t="s">
        <v>192</v>
      </c>
      <c r="U165" s="1" t="s">
        <v>192</v>
      </c>
      <c r="V165" s="1">
        <v>1</v>
      </c>
      <c r="W165" s="1" t="s">
        <v>192</v>
      </c>
      <c r="X165" s="1" t="s">
        <v>192</v>
      </c>
      <c r="Y165" s="1" t="s">
        <v>192</v>
      </c>
      <c r="Z165" s="1" t="s">
        <v>192</v>
      </c>
      <c r="AA165" s="1" t="s">
        <v>192</v>
      </c>
      <c r="AB165" s="1" t="s">
        <v>192</v>
      </c>
      <c r="AC165" s="1" t="s">
        <v>192</v>
      </c>
      <c r="AD165" s="1" t="s">
        <v>192</v>
      </c>
      <c r="AE165" s="1" t="s">
        <v>192</v>
      </c>
      <c r="AF165" s="1" t="s">
        <v>192</v>
      </c>
      <c r="AG165" s="1" t="s">
        <v>192</v>
      </c>
      <c r="AH165" s="1" t="s">
        <v>192</v>
      </c>
      <c r="AI165" s="1" t="s">
        <v>192</v>
      </c>
      <c r="AJ165" s="1" t="s">
        <v>192</v>
      </c>
      <c r="AK165" s="1" t="s">
        <v>192</v>
      </c>
      <c r="AL165" s="1" t="s">
        <v>192</v>
      </c>
      <c r="AM165" s="1" t="s">
        <v>192</v>
      </c>
      <c r="AN165" s="1" t="s">
        <v>192</v>
      </c>
      <c r="AO165" s="1" t="s">
        <v>192</v>
      </c>
      <c r="AP165" s="1" t="s">
        <v>192</v>
      </c>
      <c r="AQ165" s="1" t="s">
        <v>192</v>
      </c>
      <c r="AR165" s="1" t="s">
        <v>192</v>
      </c>
      <c r="AS165" s="1" t="s">
        <v>192</v>
      </c>
      <c r="AT165" s="1" t="s">
        <v>192</v>
      </c>
      <c r="AU165" s="1" t="s">
        <v>192</v>
      </c>
      <c r="AV165" s="1" t="s">
        <v>192</v>
      </c>
      <c r="AW165" s="1" t="s">
        <v>192</v>
      </c>
      <c r="AX165" s="1" t="s">
        <v>192</v>
      </c>
      <c r="AY165" s="1" t="s">
        <v>192</v>
      </c>
      <c r="AZ165" s="1" t="s">
        <v>192</v>
      </c>
      <c r="BA165" s="1" t="s">
        <v>192</v>
      </c>
      <c r="BB165" s="1" t="s">
        <v>192</v>
      </c>
      <c r="BC165" s="1" t="s">
        <v>192</v>
      </c>
      <c r="BD165" s="1" t="s">
        <v>192</v>
      </c>
      <c r="BE165" s="1" t="s">
        <v>192</v>
      </c>
      <c r="BF165" s="1" t="s">
        <v>192</v>
      </c>
      <c r="BG165" s="1" t="s">
        <v>192</v>
      </c>
      <c r="BH165" s="1" t="s">
        <v>192</v>
      </c>
      <c r="BI165" s="1" t="s">
        <v>192</v>
      </c>
      <c r="BJ165" s="1" t="s">
        <v>192</v>
      </c>
      <c r="BK165" s="1" t="s">
        <v>192</v>
      </c>
      <c r="BL165" s="1" t="s">
        <v>192</v>
      </c>
      <c r="BM165" s="1" t="s">
        <v>192</v>
      </c>
      <c r="BN165" s="1" t="s">
        <v>192</v>
      </c>
      <c r="BO165" s="1" t="s">
        <v>192</v>
      </c>
      <c r="BP165" s="1" t="s">
        <v>192</v>
      </c>
      <c r="BQ165" s="1" t="s">
        <v>192</v>
      </c>
      <c r="BR165" s="1" t="s">
        <v>192</v>
      </c>
      <c r="BS165" s="1" t="s">
        <v>192</v>
      </c>
      <c r="BT165" s="1" t="s">
        <v>192</v>
      </c>
      <c r="BU165" s="1" t="s">
        <v>192</v>
      </c>
      <c r="BV165" s="1" t="s">
        <v>192</v>
      </c>
      <c r="BW165" s="1" t="s">
        <v>192</v>
      </c>
      <c r="BX165" s="1" t="s">
        <v>192</v>
      </c>
      <c r="BY165" s="1" t="s">
        <v>192</v>
      </c>
      <c r="BZ165" s="1" t="s">
        <v>192</v>
      </c>
      <c r="CA165" s="1" t="s">
        <v>192</v>
      </c>
      <c r="CB165" s="1" t="s">
        <v>192</v>
      </c>
      <c r="CC165" s="1" t="s">
        <v>192</v>
      </c>
      <c r="CD165" s="1" t="s">
        <v>192</v>
      </c>
      <c r="CE165" s="1" t="s">
        <v>192</v>
      </c>
      <c r="CF165" s="1" t="s">
        <v>192</v>
      </c>
      <c r="CG165" s="1">
        <v>1</v>
      </c>
      <c r="CH165" s="1" t="s">
        <v>192</v>
      </c>
      <c r="CI165" s="1" t="s">
        <v>192</v>
      </c>
      <c r="CJ165" s="1" t="s">
        <v>192</v>
      </c>
      <c r="CK165" s="1" t="s">
        <v>192</v>
      </c>
      <c r="CL165" s="1" t="s">
        <v>192</v>
      </c>
      <c r="CM165" s="1" t="s">
        <v>192</v>
      </c>
      <c r="CN165" s="1" t="s">
        <v>192</v>
      </c>
      <c r="CO165" s="1" t="s">
        <v>192</v>
      </c>
      <c r="CP165" s="1" t="s">
        <v>192</v>
      </c>
      <c r="CQ165" s="1" t="s">
        <v>192</v>
      </c>
      <c r="CR165" s="1" t="s">
        <v>192</v>
      </c>
      <c r="CS165" s="1">
        <v>1</v>
      </c>
      <c r="CT165" s="1">
        <f>SUM(Table7[[#This Row],[Acyl_amino_acids]:[T3PKS]])</f>
        <v>11</v>
      </c>
      <c r="CU165" s="1" t="s">
        <v>192</v>
      </c>
      <c r="CW165" s="1" t="str">
        <f>Table7[[#This Row],[NRPS]]</f>
        <v>-</v>
      </c>
      <c r="CX165" s="1">
        <f>SUM(CP165,CR165,CS165,Table7[[#This Row],[T1PKS, T3PKS]])</f>
        <v>1</v>
      </c>
      <c r="CY165" s="1">
        <f t="shared" si="2"/>
        <v>0</v>
      </c>
      <c r="CZ165" s="1">
        <f>Table7[[#This Row],[Terpene]]</f>
        <v>1</v>
      </c>
      <c r="DA165" s="1">
        <f>SUM(Table7[[#This Row],[Thiopeptide]],BH165,BF165,BE165,BC165,AZ165,AX165,AW165,AJ165,AH165,N165,L165,J165,H165,I165,K165,R165,Q165,Table7[[#This Row],[Cyanobactin, LAP]])</f>
        <v>8</v>
      </c>
      <c r="DB165" s="1">
        <f>SUM(CO165,CN165,CL165,CK165,CJ165,CI165,CH165,CF165,CE165,CD165,CB165,CA165,BZ165,BY165,BX165,BW165,BV165,BT165,BR165,BQ165,BP165,BO165,BM165,BK165,BJ165,BI165,BG165,BD165,BB165,BA165,AY165,AV165,AU165,AT165,AS165,AR165,AQ165,AP165,AO165,AN165,AM165,AL165,AK165,AG165,AF165,AE165,AD165,AC165,AB165,AA165,Z165,Y165,X165,W165,V165,U165,T165,S165,P165,O165,M165,Table7[[#This Row],[Acyl_amino_acids]],E165,F165,G165,)</f>
        <v>1</v>
      </c>
    </row>
    <row r="166" spans="1:106" x14ac:dyDescent="0.25">
      <c r="A166" s="9" t="s">
        <v>745</v>
      </c>
      <c r="B166" s="1" t="s">
        <v>435</v>
      </c>
      <c r="C166" s="1" t="s">
        <v>398</v>
      </c>
      <c r="D166" s="1" t="s">
        <v>192</v>
      </c>
      <c r="E166" s="3" t="s">
        <v>192</v>
      </c>
      <c r="F166" s="3" t="s">
        <v>192</v>
      </c>
      <c r="G166" s="3" t="s">
        <v>192</v>
      </c>
      <c r="H166" s="3">
        <v>6</v>
      </c>
      <c r="I166" s="3" t="s">
        <v>192</v>
      </c>
      <c r="J166" s="3" t="s">
        <v>192</v>
      </c>
      <c r="K166" s="3" t="s">
        <v>192</v>
      </c>
      <c r="L166" s="3" t="s">
        <v>192</v>
      </c>
      <c r="M166" s="3" t="s">
        <v>192</v>
      </c>
      <c r="N166" s="3" t="s">
        <v>192</v>
      </c>
      <c r="O166" s="3" t="s">
        <v>192</v>
      </c>
      <c r="P166" s="3" t="s">
        <v>192</v>
      </c>
      <c r="Q166" s="3" t="s">
        <v>192</v>
      </c>
      <c r="R166" s="3" t="s">
        <v>192</v>
      </c>
      <c r="S166" s="3" t="s">
        <v>192</v>
      </c>
      <c r="T166" s="3" t="s">
        <v>192</v>
      </c>
      <c r="U166" s="3" t="s">
        <v>192</v>
      </c>
      <c r="V166" s="3">
        <v>1</v>
      </c>
      <c r="W166" s="3" t="s">
        <v>192</v>
      </c>
      <c r="X166" s="3" t="s">
        <v>192</v>
      </c>
      <c r="Y166" s="3" t="s">
        <v>192</v>
      </c>
      <c r="Z166" s="3" t="s">
        <v>192</v>
      </c>
      <c r="AA166" s="3" t="s">
        <v>192</v>
      </c>
      <c r="AB166" s="3" t="s">
        <v>192</v>
      </c>
      <c r="AC166" s="3" t="s">
        <v>192</v>
      </c>
      <c r="AD166" s="3" t="s">
        <v>192</v>
      </c>
      <c r="AE166" s="3" t="s">
        <v>192</v>
      </c>
      <c r="AF166" s="3" t="s">
        <v>192</v>
      </c>
      <c r="AG166" s="3" t="s">
        <v>192</v>
      </c>
      <c r="AH166" s="3" t="s">
        <v>192</v>
      </c>
      <c r="AI166" s="3" t="s">
        <v>192</v>
      </c>
      <c r="AJ166" s="3" t="s">
        <v>192</v>
      </c>
      <c r="AK166" s="3" t="s">
        <v>192</v>
      </c>
      <c r="AL166" s="3" t="s">
        <v>192</v>
      </c>
      <c r="AM166" s="3" t="s">
        <v>192</v>
      </c>
      <c r="AN166" s="3" t="s">
        <v>192</v>
      </c>
      <c r="AO166" s="3" t="s">
        <v>192</v>
      </c>
      <c r="AP166" s="3" t="s">
        <v>192</v>
      </c>
      <c r="AQ166" s="3" t="s">
        <v>192</v>
      </c>
      <c r="AR166" s="3" t="s">
        <v>192</v>
      </c>
      <c r="AS166" s="3" t="s">
        <v>192</v>
      </c>
      <c r="AT166" s="3" t="s">
        <v>192</v>
      </c>
      <c r="AU166" s="3" t="s">
        <v>192</v>
      </c>
      <c r="AV166" s="3" t="s">
        <v>192</v>
      </c>
      <c r="AW166" s="3" t="s">
        <v>192</v>
      </c>
      <c r="AX166" s="3" t="s">
        <v>192</v>
      </c>
      <c r="AY166" s="3" t="s">
        <v>192</v>
      </c>
      <c r="AZ166" s="3" t="s">
        <v>192</v>
      </c>
      <c r="BA166" s="3" t="s">
        <v>192</v>
      </c>
      <c r="BB166" s="3" t="s">
        <v>192</v>
      </c>
      <c r="BC166" s="3" t="s">
        <v>192</v>
      </c>
      <c r="BD166" s="3" t="s">
        <v>192</v>
      </c>
      <c r="BE166" s="3" t="s">
        <v>192</v>
      </c>
      <c r="BF166" s="3" t="s">
        <v>192</v>
      </c>
      <c r="BG166" s="3" t="s">
        <v>192</v>
      </c>
      <c r="BH166" s="3" t="s">
        <v>192</v>
      </c>
      <c r="BI166" s="3" t="s">
        <v>192</v>
      </c>
      <c r="BJ166" s="3" t="s">
        <v>192</v>
      </c>
      <c r="BK166" s="3" t="s">
        <v>192</v>
      </c>
      <c r="BL166" s="3" t="s">
        <v>192</v>
      </c>
      <c r="BM166" s="3" t="s">
        <v>192</v>
      </c>
      <c r="BN166" s="3" t="s">
        <v>192</v>
      </c>
      <c r="BO166" s="3" t="s">
        <v>192</v>
      </c>
      <c r="BP166" s="3" t="s">
        <v>192</v>
      </c>
      <c r="BQ166" s="3" t="s">
        <v>192</v>
      </c>
      <c r="BR166" s="3" t="s">
        <v>192</v>
      </c>
      <c r="BS166" s="3" t="s">
        <v>192</v>
      </c>
      <c r="BT166" s="3" t="s">
        <v>192</v>
      </c>
      <c r="BU166" s="3" t="s">
        <v>192</v>
      </c>
      <c r="BV166" s="3" t="s">
        <v>192</v>
      </c>
      <c r="BW166" s="3" t="s">
        <v>192</v>
      </c>
      <c r="BX166" s="3" t="s">
        <v>192</v>
      </c>
      <c r="BY166" s="3" t="s">
        <v>192</v>
      </c>
      <c r="BZ166" s="3" t="s">
        <v>192</v>
      </c>
      <c r="CA166" s="3" t="s">
        <v>192</v>
      </c>
      <c r="CB166" s="3" t="s">
        <v>192</v>
      </c>
      <c r="CC166" s="3" t="s">
        <v>192</v>
      </c>
      <c r="CD166" s="3" t="s">
        <v>192</v>
      </c>
      <c r="CE166" s="3" t="s">
        <v>192</v>
      </c>
      <c r="CF166" s="3" t="s">
        <v>192</v>
      </c>
      <c r="CG166" s="3">
        <v>1</v>
      </c>
      <c r="CH166" s="3" t="s">
        <v>192</v>
      </c>
      <c r="CI166" s="3" t="s">
        <v>192</v>
      </c>
      <c r="CJ166" s="3" t="s">
        <v>192</v>
      </c>
      <c r="CK166" s="3" t="s">
        <v>192</v>
      </c>
      <c r="CL166" s="3" t="s">
        <v>192</v>
      </c>
      <c r="CM166" s="3" t="s">
        <v>192</v>
      </c>
      <c r="CN166" s="3" t="s">
        <v>192</v>
      </c>
      <c r="CO166" s="3" t="s">
        <v>192</v>
      </c>
      <c r="CP166" s="3" t="s">
        <v>192</v>
      </c>
      <c r="CQ166" s="3" t="s">
        <v>192</v>
      </c>
      <c r="CR166" s="3" t="s">
        <v>192</v>
      </c>
      <c r="CS166" s="3">
        <v>1</v>
      </c>
      <c r="CT166" s="1">
        <f>SUM(Table7[[#This Row],[Acyl_amino_acids]:[T3PKS]])</f>
        <v>9</v>
      </c>
      <c r="CU166" s="3" t="s">
        <v>192</v>
      </c>
      <c r="CW166" s="1" t="str">
        <f>Table7[[#This Row],[NRPS]]</f>
        <v>-</v>
      </c>
      <c r="CX166" s="1">
        <f>SUM(CP166,CR166,CS166,Table7[[#This Row],[T1PKS, T3PKS]])</f>
        <v>1</v>
      </c>
      <c r="CY166" s="1">
        <f t="shared" si="2"/>
        <v>0</v>
      </c>
      <c r="CZ166" s="1">
        <f>Table7[[#This Row],[Terpene]]</f>
        <v>1</v>
      </c>
      <c r="DA166" s="1">
        <f>SUM(Table7[[#This Row],[Thiopeptide]],BH166,BF166,BE166,BC166,AZ166,AX166,AW166,AJ166,AH166,N166,L166,J166,H166,I166,K166,R166,Q166,Table7[[#This Row],[Cyanobactin, LAP]])</f>
        <v>6</v>
      </c>
      <c r="DB166" s="1">
        <f>SUM(CO166,CN166,CL166,CK166,CJ166,CI166,CH166,CF166,CE166,CD166,CB166,CA166,BZ166,BY166,BX166,BW166,BV166,BT166,BR166,BQ166,BP166,BO166,BM166,BK166,BJ166,BI166,BG166,BD166,BB166,BA166,AY166,AV166,AU166,AT166,AS166,AR166,AQ166,AP166,AO166,AN166,AM166,AL166,AK166,AG166,AF166,AE166,AD166,AC166,AB166,AA166,Z166,Y166,X166,W166,V166,U166,T166,S166,P166,O166,M166,Table7[[#This Row],[Acyl_amino_acids]],E166,F166,G166,)</f>
        <v>1</v>
      </c>
    </row>
    <row r="167" spans="1:106" x14ac:dyDescent="0.25">
      <c r="A167" s="9" t="s">
        <v>797</v>
      </c>
      <c r="B167" s="1" t="s">
        <v>435</v>
      </c>
      <c r="C167" s="1" t="s">
        <v>595</v>
      </c>
      <c r="D167" s="3" t="s">
        <v>192</v>
      </c>
      <c r="E167" s="3" t="s">
        <v>192</v>
      </c>
      <c r="F167" s="3" t="s">
        <v>192</v>
      </c>
      <c r="G167" s="3" t="s">
        <v>192</v>
      </c>
      <c r="H167" s="3">
        <v>9</v>
      </c>
      <c r="I167" s="3" t="s">
        <v>192</v>
      </c>
      <c r="J167" s="3" t="s">
        <v>192</v>
      </c>
      <c r="K167" s="3" t="s">
        <v>192</v>
      </c>
      <c r="L167" s="3">
        <v>1</v>
      </c>
      <c r="M167" s="3" t="s">
        <v>192</v>
      </c>
      <c r="N167" s="3" t="s">
        <v>192</v>
      </c>
      <c r="O167" s="3" t="s">
        <v>192</v>
      </c>
      <c r="P167" s="3" t="s">
        <v>192</v>
      </c>
      <c r="Q167" s="3" t="s">
        <v>192</v>
      </c>
      <c r="R167" s="3" t="s">
        <v>192</v>
      </c>
      <c r="S167" s="3" t="s">
        <v>192</v>
      </c>
      <c r="T167" s="3" t="s">
        <v>192</v>
      </c>
      <c r="U167" s="3" t="s">
        <v>192</v>
      </c>
      <c r="V167" s="3">
        <v>1</v>
      </c>
      <c r="W167" s="3" t="s">
        <v>192</v>
      </c>
      <c r="X167" s="3" t="s">
        <v>192</v>
      </c>
      <c r="Y167" s="3" t="s">
        <v>192</v>
      </c>
      <c r="Z167" s="3" t="s">
        <v>192</v>
      </c>
      <c r="AA167" s="3" t="s">
        <v>192</v>
      </c>
      <c r="AB167" s="3" t="s">
        <v>192</v>
      </c>
      <c r="AC167" s="3" t="s">
        <v>192</v>
      </c>
      <c r="AD167" s="3" t="s">
        <v>192</v>
      </c>
      <c r="AE167" s="3" t="s">
        <v>192</v>
      </c>
      <c r="AF167" s="3" t="s">
        <v>192</v>
      </c>
      <c r="AG167" s="3" t="s">
        <v>192</v>
      </c>
      <c r="AH167" s="3" t="s">
        <v>192</v>
      </c>
      <c r="AI167" s="3" t="s">
        <v>192</v>
      </c>
      <c r="AJ167" s="3" t="s">
        <v>192</v>
      </c>
      <c r="AK167" s="3" t="s">
        <v>192</v>
      </c>
      <c r="AL167" s="3" t="s">
        <v>192</v>
      </c>
      <c r="AM167" s="3" t="s">
        <v>192</v>
      </c>
      <c r="AN167" s="3" t="s">
        <v>192</v>
      </c>
      <c r="AO167" s="3" t="s">
        <v>192</v>
      </c>
      <c r="AP167" s="3" t="s">
        <v>192</v>
      </c>
      <c r="AQ167" s="3" t="s">
        <v>192</v>
      </c>
      <c r="AR167" s="3" t="s">
        <v>192</v>
      </c>
      <c r="AS167" s="3" t="s">
        <v>192</v>
      </c>
      <c r="AT167" s="3" t="s">
        <v>192</v>
      </c>
      <c r="AU167" s="3" t="s">
        <v>192</v>
      </c>
      <c r="AV167" s="3" t="s">
        <v>192</v>
      </c>
      <c r="AW167" s="3" t="s">
        <v>192</v>
      </c>
      <c r="AX167" s="3" t="s">
        <v>192</v>
      </c>
      <c r="AY167" s="3" t="s">
        <v>192</v>
      </c>
      <c r="AZ167" s="3" t="s">
        <v>192</v>
      </c>
      <c r="BA167" s="3" t="s">
        <v>192</v>
      </c>
      <c r="BB167" s="3" t="s">
        <v>192</v>
      </c>
      <c r="BC167" s="3" t="s">
        <v>192</v>
      </c>
      <c r="BD167" s="3" t="s">
        <v>192</v>
      </c>
      <c r="BE167" s="3" t="s">
        <v>192</v>
      </c>
      <c r="BF167" s="3" t="s">
        <v>192</v>
      </c>
      <c r="BG167" s="3" t="s">
        <v>192</v>
      </c>
      <c r="BH167" s="3" t="s">
        <v>192</v>
      </c>
      <c r="BI167" s="3" t="s">
        <v>192</v>
      </c>
      <c r="BJ167" s="3" t="s">
        <v>192</v>
      </c>
      <c r="BK167" s="3" t="s">
        <v>192</v>
      </c>
      <c r="BL167" s="3" t="s">
        <v>192</v>
      </c>
      <c r="BM167" s="3" t="s">
        <v>192</v>
      </c>
      <c r="BN167" s="3" t="s">
        <v>192</v>
      </c>
      <c r="BO167" s="3" t="s">
        <v>192</v>
      </c>
      <c r="BP167" s="3" t="s">
        <v>192</v>
      </c>
      <c r="BQ167" s="3" t="s">
        <v>192</v>
      </c>
      <c r="BR167" s="3" t="s">
        <v>192</v>
      </c>
      <c r="BS167" s="3" t="s">
        <v>192</v>
      </c>
      <c r="BT167" s="3" t="s">
        <v>192</v>
      </c>
      <c r="BU167" s="3" t="s">
        <v>192</v>
      </c>
      <c r="BV167" s="3" t="s">
        <v>192</v>
      </c>
      <c r="BW167" s="3" t="s">
        <v>192</v>
      </c>
      <c r="BX167" s="3" t="s">
        <v>192</v>
      </c>
      <c r="BY167" s="3" t="s">
        <v>192</v>
      </c>
      <c r="BZ167" s="3" t="s">
        <v>192</v>
      </c>
      <c r="CA167" s="3" t="s">
        <v>192</v>
      </c>
      <c r="CB167" s="3" t="s">
        <v>192</v>
      </c>
      <c r="CC167" s="3" t="s">
        <v>192</v>
      </c>
      <c r="CD167" s="3" t="s">
        <v>192</v>
      </c>
      <c r="CE167" s="3" t="s">
        <v>192</v>
      </c>
      <c r="CF167" s="3" t="s">
        <v>192</v>
      </c>
      <c r="CG167" s="3">
        <v>1</v>
      </c>
      <c r="CH167" s="3" t="s">
        <v>192</v>
      </c>
      <c r="CI167" s="3" t="s">
        <v>192</v>
      </c>
      <c r="CJ167" s="3" t="s">
        <v>192</v>
      </c>
      <c r="CK167" s="3" t="s">
        <v>192</v>
      </c>
      <c r="CL167" s="3" t="s">
        <v>192</v>
      </c>
      <c r="CM167" s="3" t="s">
        <v>192</v>
      </c>
      <c r="CN167" s="3" t="s">
        <v>192</v>
      </c>
      <c r="CO167" s="3" t="s">
        <v>192</v>
      </c>
      <c r="CP167" s="3" t="s">
        <v>192</v>
      </c>
      <c r="CQ167" s="3" t="s">
        <v>192</v>
      </c>
      <c r="CR167" s="3" t="s">
        <v>192</v>
      </c>
      <c r="CS167" s="3" t="s">
        <v>192</v>
      </c>
      <c r="CT167" s="1">
        <f>SUM(Table7[[#This Row],[Acyl_amino_acids]:[T3PKS]])</f>
        <v>12</v>
      </c>
      <c r="CU167" s="3" t="s">
        <v>192</v>
      </c>
      <c r="CW167" s="1" t="str">
        <f>Table7[[#This Row],[NRPS]]</f>
        <v>-</v>
      </c>
      <c r="CX167" s="1">
        <f>SUM(CP167,CR167,CS167,Table7[[#This Row],[T1PKS, T3PKS]])</f>
        <v>0</v>
      </c>
      <c r="CY167" s="1">
        <f t="shared" si="2"/>
        <v>0</v>
      </c>
      <c r="CZ167" s="1">
        <f>Table7[[#This Row],[Terpene]]</f>
        <v>1</v>
      </c>
      <c r="DA167" s="1">
        <f>SUM(Table7[[#This Row],[Thiopeptide]],BH167,BF167,BE167,BC167,AZ167,AX167,AW167,AJ167,AH167,N167,L167,J167,H167,I167,K167,R167,Q167,Table7[[#This Row],[Cyanobactin, LAP]])</f>
        <v>10</v>
      </c>
      <c r="DB167" s="1">
        <f>SUM(CO167,CN167,CL167,CK167,CJ167,CI167,CH167,CF167,CE167,CD167,CB167,CA167,BZ167,BY167,BX167,BW167,BV167,BT167,BR167,BQ167,BP167,BO167,BM167,BK167,BJ167,BI167,BG167,BD167,BB167,BA167,AY167,AV167,AU167,AT167,AS167,AR167,AQ167,AP167,AO167,AN167,AM167,AL167,AK167,AG167,AF167,AE167,AD167,AC167,AB167,AA167,Z167,Y167,X167,W167,V167,U167,T167,S167,P167,O167,M167,Table7[[#This Row],[Acyl_amino_acids]],E167,F167,G167,)</f>
        <v>1</v>
      </c>
    </row>
    <row r="168" spans="1:106" x14ac:dyDescent="0.25">
      <c r="A168" s="9" t="s">
        <v>673</v>
      </c>
      <c r="B168" s="1" t="s">
        <v>435</v>
      </c>
      <c r="C168" s="1" t="s">
        <v>399</v>
      </c>
      <c r="D168" s="1" t="s">
        <v>192</v>
      </c>
      <c r="E168" s="1" t="s">
        <v>192</v>
      </c>
      <c r="F168" s="1" t="s">
        <v>192</v>
      </c>
      <c r="G168" s="1" t="s">
        <v>192</v>
      </c>
      <c r="H168" s="1">
        <v>5</v>
      </c>
      <c r="I168" s="1" t="s">
        <v>192</v>
      </c>
      <c r="J168" s="1" t="s">
        <v>192</v>
      </c>
      <c r="K168" s="1" t="s">
        <v>192</v>
      </c>
      <c r="L168" s="1" t="s">
        <v>192</v>
      </c>
      <c r="M168" s="1" t="s">
        <v>192</v>
      </c>
      <c r="N168" s="1" t="s">
        <v>192</v>
      </c>
      <c r="O168" s="1" t="s">
        <v>192</v>
      </c>
      <c r="P168" s="1" t="s">
        <v>192</v>
      </c>
      <c r="Q168" s="1" t="s">
        <v>192</v>
      </c>
      <c r="R168" s="1" t="s">
        <v>192</v>
      </c>
      <c r="S168" s="1" t="s">
        <v>192</v>
      </c>
      <c r="T168" s="1" t="s">
        <v>192</v>
      </c>
      <c r="U168" s="1" t="s">
        <v>192</v>
      </c>
      <c r="V168" s="1">
        <v>1</v>
      </c>
      <c r="W168" s="1" t="s">
        <v>192</v>
      </c>
      <c r="X168" s="1" t="s">
        <v>192</v>
      </c>
      <c r="Y168" s="1" t="s">
        <v>192</v>
      </c>
      <c r="Z168" s="1" t="s">
        <v>192</v>
      </c>
      <c r="AA168" s="1" t="s">
        <v>192</v>
      </c>
      <c r="AB168" s="1" t="s">
        <v>192</v>
      </c>
      <c r="AC168" s="1" t="s">
        <v>192</v>
      </c>
      <c r="AD168" s="1" t="s">
        <v>192</v>
      </c>
      <c r="AE168" s="1" t="s">
        <v>192</v>
      </c>
      <c r="AF168" s="1" t="s">
        <v>192</v>
      </c>
      <c r="AG168" s="1" t="s">
        <v>192</v>
      </c>
      <c r="AH168" s="1" t="s">
        <v>192</v>
      </c>
      <c r="AI168" s="1" t="s">
        <v>192</v>
      </c>
      <c r="AJ168" s="1" t="s">
        <v>192</v>
      </c>
      <c r="AK168" s="1" t="s">
        <v>192</v>
      </c>
      <c r="AL168" s="1" t="s">
        <v>192</v>
      </c>
      <c r="AM168" s="1" t="s">
        <v>192</v>
      </c>
      <c r="AN168" s="1" t="s">
        <v>192</v>
      </c>
      <c r="AO168" s="1" t="s">
        <v>192</v>
      </c>
      <c r="AP168" s="1" t="s">
        <v>192</v>
      </c>
      <c r="AQ168" s="1" t="s">
        <v>192</v>
      </c>
      <c r="AR168" s="1" t="s">
        <v>192</v>
      </c>
      <c r="AS168" s="1" t="s">
        <v>192</v>
      </c>
      <c r="AT168" s="1" t="s">
        <v>192</v>
      </c>
      <c r="AU168" s="1" t="s">
        <v>192</v>
      </c>
      <c r="AV168" s="1" t="s">
        <v>192</v>
      </c>
      <c r="AW168" s="1" t="s">
        <v>192</v>
      </c>
      <c r="AX168" s="1" t="s">
        <v>192</v>
      </c>
      <c r="AY168" s="1" t="s">
        <v>192</v>
      </c>
      <c r="AZ168" s="1" t="s">
        <v>192</v>
      </c>
      <c r="BA168" s="1" t="s">
        <v>192</v>
      </c>
      <c r="BB168" s="1" t="s">
        <v>192</v>
      </c>
      <c r="BC168" s="1" t="s">
        <v>192</v>
      </c>
      <c r="BD168" s="1" t="s">
        <v>192</v>
      </c>
      <c r="BE168" s="1" t="s">
        <v>192</v>
      </c>
      <c r="BF168" s="1" t="s">
        <v>192</v>
      </c>
      <c r="BG168" s="1" t="s">
        <v>192</v>
      </c>
      <c r="BH168" s="1" t="s">
        <v>192</v>
      </c>
      <c r="BI168" s="1" t="s">
        <v>192</v>
      </c>
      <c r="BJ168" s="1" t="s">
        <v>192</v>
      </c>
      <c r="BK168" s="1" t="s">
        <v>192</v>
      </c>
      <c r="BL168" s="1" t="s">
        <v>192</v>
      </c>
      <c r="BM168" s="1" t="s">
        <v>192</v>
      </c>
      <c r="BN168" s="1" t="s">
        <v>192</v>
      </c>
      <c r="BO168" s="1" t="s">
        <v>192</v>
      </c>
      <c r="BP168" s="1" t="s">
        <v>192</v>
      </c>
      <c r="BQ168" s="1" t="s">
        <v>192</v>
      </c>
      <c r="BR168" s="1" t="s">
        <v>192</v>
      </c>
      <c r="BS168" s="1" t="s">
        <v>192</v>
      </c>
      <c r="BT168" s="1" t="s">
        <v>192</v>
      </c>
      <c r="BU168" s="1" t="s">
        <v>192</v>
      </c>
      <c r="BV168" s="1" t="s">
        <v>192</v>
      </c>
      <c r="BW168" s="1" t="s">
        <v>192</v>
      </c>
      <c r="BX168" s="1" t="s">
        <v>192</v>
      </c>
      <c r="BY168" s="1" t="s">
        <v>192</v>
      </c>
      <c r="BZ168" s="1" t="s">
        <v>192</v>
      </c>
      <c r="CA168" s="1" t="s">
        <v>192</v>
      </c>
      <c r="CB168" s="1" t="s">
        <v>192</v>
      </c>
      <c r="CC168" s="1" t="s">
        <v>192</v>
      </c>
      <c r="CD168" s="1" t="s">
        <v>192</v>
      </c>
      <c r="CE168" s="1" t="s">
        <v>192</v>
      </c>
      <c r="CF168" s="1" t="s">
        <v>192</v>
      </c>
      <c r="CG168" s="1">
        <v>1</v>
      </c>
      <c r="CH168" s="1" t="s">
        <v>192</v>
      </c>
      <c r="CI168" s="1" t="s">
        <v>192</v>
      </c>
      <c r="CJ168" s="1" t="s">
        <v>192</v>
      </c>
      <c r="CK168" s="1" t="s">
        <v>192</v>
      </c>
      <c r="CL168" s="1" t="s">
        <v>192</v>
      </c>
      <c r="CM168" s="1" t="s">
        <v>192</v>
      </c>
      <c r="CN168" s="1" t="s">
        <v>192</v>
      </c>
      <c r="CO168" s="1" t="s">
        <v>192</v>
      </c>
      <c r="CP168" s="1" t="s">
        <v>192</v>
      </c>
      <c r="CQ168" s="1" t="s">
        <v>192</v>
      </c>
      <c r="CR168" s="1" t="s">
        <v>192</v>
      </c>
      <c r="CS168" s="1">
        <v>1</v>
      </c>
      <c r="CT168" s="1">
        <f>SUM(Table7[[#This Row],[Acyl_amino_acids]:[T3PKS]])</f>
        <v>8</v>
      </c>
      <c r="CU168" s="1" t="s">
        <v>192</v>
      </c>
      <c r="CW168" s="1" t="str">
        <f>Table7[[#This Row],[NRPS]]</f>
        <v>-</v>
      </c>
      <c r="CX168" s="1">
        <f>SUM(CP168,CR168,CS168,Table7[[#This Row],[T1PKS, T3PKS]])</f>
        <v>1</v>
      </c>
      <c r="CY168" s="1">
        <f t="shared" si="2"/>
        <v>0</v>
      </c>
      <c r="CZ168" s="1">
        <f>Table7[[#This Row],[Terpene]]</f>
        <v>1</v>
      </c>
      <c r="DA168" s="1">
        <f>SUM(Table7[[#This Row],[Thiopeptide]],BH168,BF168,BE168,BC168,AZ168,AX168,AW168,AJ168,AH168,N168,L168,J168,H168,I168,K168,R168,Q168,Table7[[#This Row],[Cyanobactin, LAP]])</f>
        <v>5</v>
      </c>
      <c r="DB168" s="1">
        <f>SUM(CO168,CN168,CL168,CK168,CJ168,CI168,CH168,CF168,CE168,CD168,CB168,CA168,BZ168,BY168,BX168,BW168,BV168,BT168,BR168,BQ168,BP168,BO168,BM168,BK168,BJ168,BI168,BG168,BD168,BB168,BA168,AY168,AV168,AU168,AT168,AS168,AR168,AQ168,AP168,AO168,AN168,AM168,AL168,AK168,AG168,AF168,AE168,AD168,AC168,AB168,AA168,Z168,Y168,X168,W168,V168,U168,T168,S168,P168,O168,M168,Table7[[#This Row],[Acyl_amino_acids]],E168,F168,G168,)</f>
        <v>1</v>
      </c>
    </row>
    <row r="169" spans="1:106" x14ac:dyDescent="0.25">
      <c r="A169" s="9" t="s">
        <v>746</v>
      </c>
      <c r="B169" s="1" t="s">
        <v>435</v>
      </c>
      <c r="C169" s="1" t="s">
        <v>400</v>
      </c>
      <c r="D169" s="1" t="s">
        <v>192</v>
      </c>
      <c r="E169" s="3" t="s">
        <v>192</v>
      </c>
      <c r="F169" s="3" t="s">
        <v>192</v>
      </c>
      <c r="G169" s="3" t="s">
        <v>192</v>
      </c>
      <c r="H169" s="3">
        <v>5</v>
      </c>
      <c r="I169" s="3" t="s">
        <v>192</v>
      </c>
      <c r="J169" s="3" t="s">
        <v>192</v>
      </c>
      <c r="K169" s="3" t="s">
        <v>192</v>
      </c>
      <c r="L169" s="3" t="s">
        <v>192</v>
      </c>
      <c r="M169" s="3" t="s">
        <v>192</v>
      </c>
      <c r="N169" s="3" t="s">
        <v>192</v>
      </c>
      <c r="O169" s="3" t="s">
        <v>192</v>
      </c>
      <c r="P169" s="3" t="s">
        <v>192</v>
      </c>
      <c r="Q169" s="3" t="s">
        <v>192</v>
      </c>
      <c r="R169" s="3" t="s">
        <v>192</v>
      </c>
      <c r="S169" s="3" t="s">
        <v>192</v>
      </c>
      <c r="T169" s="3" t="s">
        <v>192</v>
      </c>
      <c r="U169" s="3" t="s">
        <v>192</v>
      </c>
      <c r="V169" s="3">
        <v>1</v>
      </c>
      <c r="W169" s="3" t="s">
        <v>192</v>
      </c>
      <c r="X169" s="3" t="s">
        <v>192</v>
      </c>
      <c r="Y169" s="3" t="s">
        <v>192</v>
      </c>
      <c r="Z169" s="3" t="s">
        <v>192</v>
      </c>
      <c r="AA169" s="3" t="s">
        <v>192</v>
      </c>
      <c r="AB169" s="3" t="s">
        <v>192</v>
      </c>
      <c r="AC169" s="3" t="s">
        <v>192</v>
      </c>
      <c r="AD169" s="3" t="s">
        <v>192</v>
      </c>
      <c r="AE169" s="3" t="s">
        <v>192</v>
      </c>
      <c r="AF169" s="3" t="s">
        <v>192</v>
      </c>
      <c r="AG169" s="3" t="s">
        <v>192</v>
      </c>
      <c r="AH169" s="3" t="s">
        <v>192</v>
      </c>
      <c r="AI169" s="3" t="s">
        <v>192</v>
      </c>
      <c r="AJ169" s="3" t="s">
        <v>192</v>
      </c>
      <c r="AK169" s="3" t="s">
        <v>192</v>
      </c>
      <c r="AL169" s="3" t="s">
        <v>192</v>
      </c>
      <c r="AM169" s="3" t="s">
        <v>192</v>
      </c>
      <c r="AN169" s="3" t="s">
        <v>192</v>
      </c>
      <c r="AO169" s="3" t="s">
        <v>192</v>
      </c>
      <c r="AP169" s="3" t="s">
        <v>192</v>
      </c>
      <c r="AQ169" s="3" t="s">
        <v>192</v>
      </c>
      <c r="AR169" s="3" t="s">
        <v>192</v>
      </c>
      <c r="AS169" s="3" t="s">
        <v>192</v>
      </c>
      <c r="AT169" s="3" t="s">
        <v>192</v>
      </c>
      <c r="AU169" s="3" t="s">
        <v>192</v>
      </c>
      <c r="AV169" s="3" t="s">
        <v>192</v>
      </c>
      <c r="AW169" s="3" t="s">
        <v>192</v>
      </c>
      <c r="AX169" s="3" t="s">
        <v>192</v>
      </c>
      <c r="AY169" s="3" t="s">
        <v>192</v>
      </c>
      <c r="AZ169" s="3" t="s">
        <v>192</v>
      </c>
      <c r="BA169" s="3" t="s">
        <v>192</v>
      </c>
      <c r="BB169" s="3" t="s">
        <v>192</v>
      </c>
      <c r="BC169" s="3" t="s">
        <v>192</v>
      </c>
      <c r="BD169" s="3" t="s">
        <v>192</v>
      </c>
      <c r="BE169" s="3" t="s">
        <v>192</v>
      </c>
      <c r="BF169" s="3" t="s">
        <v>192</v>
      </c>
      <c r="BG169" s="3" t="s">
        <v>192</v>
      </c>
      <c r="BH169" s="3" t="s">
        <v>192</v>
      </c>
      <c r="BI169" s="3" t="s">
        <v>192</v>
      </c>
      <c r="BJ169" s="3" t="s">
        <v>192</v>
      </c>
      <c r="BK169" s="3" t="s">
        <v>192</v>
      </c>
      <c r="BL169" s="3" t="s">
        <v>192</v>
      </c>
      <c r="BM169" s="3" t="s">
        <v>192</v>
      </c>
      <c r="BN169" s="3" t="s">
        <v>192</v>
      </c>
      <c r="BO169" s="3" t="s">
        <v>192</v>
      </c>
      <c r="BP169" s="3" t="s">
        <v>192</v>
      </c>
      <c r="BQ169" s="3" t="s">
        <v>192</v>
      </c>
      <c r="BR169" s="3" t="s">
        <v>192</v>
      </c>
      <c r="BS169" s="3" t="s">
        <v>192</v>
      </c>
      <c r="BT169" s="3" t="s">
        <v>192</v>
      </c>
      <c r="BU169" s="3" t="s">
        <v>192</v>
      </c>
      <c r="BV169" s="3" t="s">
        <v>192</v>
      </c>
      <c r="BW169" s="3" t="s">
        <v>192</v>
      </c>
      <c r="BX169" s="3" t="s">
        <v>192</v>
      </c>
      <c r="BY169" s="3" t="s">
        <v>192</v>
      </c>
      <c r="BZ169" s="3" t="s">
        <v>192</v>
      </c>
      <c r="CA169" s="3" t="s">
        <v>192</v>
      </c>
      <c r="CB169" s="3" t="s">
        <v>192</v>
      </c>
      <c r="CC169" s="3" t="s">
        <v>192</v>
      </c>
      <c r="CD169" s="3" t="s">
        <v>192</v>
      </c>
      <c r="CE169" s="3" t="s">
        <v>192</v>
      </c>
      <c r="CF169" s="3" t="s">
        <v>192</v>
      </c>
      <c r="CG169" s="3">
        <v>1</v>
      </c>
      <c r="CH169" s="3" t="s">
        <v>192</v>
      </c>
      <c r="CI169" s="3" t="s">
        <v>192</v>
      </c>
      <c r="CJ169" s="3" t="s">
        <v>192</v>
      </c>
      <c r="CK169" s="3" t="s">
        <v>192</v>
      </c>
      <c r="CL169" s="3" t="s">
        <v>192</v>
      </c>
      <c r="CM169" s="3" t="s">
        <v>192</v>
      </c>
      <c r="CN169" s="3" t="s">
        <v>192</v>
      </c>
      <c r="CO169" s="3" t="s">
        <v>192</v>
      </c>
      <c r="CP169" s="3" t="s">
        <v>192</v>
      </c>
      <c r="CQ169" s="3" t="s">
        <v>192</v>
      </c>
      <c r="CR169" s="3" t="s">
        <v>192</v>
      </c>
      <c r="CS169" s="3">
        <v>1</v>
      </c>
      <c r="CT169" s="1">
        <f>SUM(Table7[[#This Row],[Acyl_amino_acids]:[T3PKS]])</f>
        <v>8</v>
      </c>
      <c r="CU169" s="3" t="s">
        <v>192</v>
      </c>
      <c r="CW169" s="1" t="str">
        <f>Table7[[#This Row],[NRPS]]</f>
        <v>-</v>
      </c>
      <c r="CX169" s="1">
        <f>SUM(CP169,CR169,CS169,Table7[[#This Row],[T1PKS, T3PKS]])</f>
        <v>1</v>
      </c>
      <c r="CY169" s="1">
        <f t="shared" si="2"/>
        <v>0</v>
      </c>
      <c r="CZ169" s="1">
        <f>Table7[[#This Row],[Terpene]]</f>
        <v>1</v>
      </c>
      <c r="DA169" s="1">
        <f>SUM(Table7[[#This Row],[Thiopeptide]],BH169,BF169,BE169,BC169,AZ169,AX169,AW169,AJ169,AH169,N169,L169,J169,H169,I169,K169,R169,Q169,Table7[[#This Row],[Cyanobactin, LAP]])</f>
        <v>5</v>
      </c>
      <c r="DB169" s="1">
        <f>SUM(CO169,CN169,CL169,CK169,CJ169,CI169,CH169,CF169,CE169,CD169,CB169,CA169,BZ169,BY169,BX169,BW169,BV169,BT169,BR169,BQ169,BP169,BO169,BM169,BK169,BJ169,BI169,BG169,BD169,BB169,BA169,AY169,AV169,AU169,AT169,AS169,AR169,AQ169,AP169,AO169,AN169,AM169,AL169,AK169,AG169,AF169,AE169,AD169,AC169,AB169,AA169,Z169,Y169,X169,W169,V169,U169,T169,S169,P169,O169,M169,Table7[[#This Row],[Acyl_amino_acids]],E169,F169,G169,)</f>
        <v>1</v>
      </c>
    </row>
    <row r="170" spans="1:106" x14ac:dyDescent="0.25">
      <c r="A170" s="9" t="s">
        <v>161</v>
      </c>
      <c r="B170" s="1" t="s">
        <v>435</v>
      </c>
      <c r="C170" s="1" t="s">
        <v>401</v>
      </c>
      <c r="D170" s="1" t="s">
        <v>192</v>
      </c>
      <c r="E170" s="3" t="s">
        <v>192</v>
      </c>
      <c r="F170" s="3" t="s">
        <v>192</v>
      </c>
      <c r="G170" s="3" t="s">
        <v>192</v>
      </c>
      <c r="H170" s="3">
        <v>4</v>
      </c>
      <c r="I170" s="3" t="s">
        <v>192</v>
      </c>
      <c r="J170" s="3" t="s">
        <v>192</v>
      </c>
      <c r="K170" s="3" t="s">
        <v>192</v>
      </c>
      <c r="L170" s="3" t="s">
        <v>192</v>
      </c>
      <c r="M170" s="3" t="s">
        <v>192</v>
      </c>
      <c r="N170" s="3" t="s">
        <v>192</v>
      </c>
      <c r="O170" s="3" t="s">
        <v>192</v>
      </c>
      <c r="P170" s="3" t="s">
        <v>192</v>
      </c>
      <c r="Q170" s="3" t="s">
        <v>192</v>
      </c>
      <c r="R170" s="3" t="s">
        <v>192</v>
      </c>
      <c r="S170" s="3" t="s">
        <v>192</v>
      </c>
      <c r="T170" s="3" t="s">
        <v>192</v>
      </c>
      <c r="U170" s="3" t="s">
        <v>192</v>
      </c>
      <c r="V170" s="3" t="s">
        <v>192</v>
      </c>
      <c r="W170" s="3" t="s">
        <v>192</v>
      </c>
      <c r="X170" s="3" t="s">
        <v>192</v>
      </c>
      <c r="Y170" s="3" t="s">
        <v>192</v>
      </c>
      <c r="Z170" s="3" t="s">
        <v>192</v>
      </c>
      <c r="AA170" s="3" t="s">
        <v>192</v>
      </c>
      <c r="AB170" s="3" t="s">
        <v>192</v>
      </c>
      <c r="AC170" s="3" t="s">
        <v>192</v>
      </c>
      <c r="AD170" s="3" t="s">
        <v>192</v>
      </c>
      <c r="AE170" s="3" t="s">
        <v>192</v>
      </c>
      <c r="AF170" s="3" t="s">
        <v>192</v>
      </c>
      <c r="AG170" s="3" t="s">
        <v>192</v>
      </c>
      <c r="AH170" s="3" t="s">
        <v>192</v>
      </c>
      <c r="AI170" s="3" t="s">
        <v>192</v>
      </c>
      <c r="AJ170" s="3" t="s">
        <v>192</v>
      </c>
      <c r="AK170" s="3" t="s">
        <v>192</v>
      </c>
      <c r="AL170" s="3" t="s">
        <v>192</v>
      </c>
      <c r="AM170" s="3" t="s">
        <v>192</v>
      </c>
      <c r="AN170" s="3" t="s">
        <v>192</v>
      </c>
      <c r="AO170" s="3" t="s">
        <v>192</v>
      </c>
      <c r="AP170" s="3" t="s">
        <v>192</v>
      </c>
      <c r="AQ170" s="3" t="s">
        <v>192</v>
      </c>
      <c r="AR170" s="3" t="s">
        <v>192</v>
      </c>
      <c r="AS170" s="3" t="s">
        <v>192</v>
      </c>
      <c r="AT170" s="3" t="s">
        <v>192</v>
      </c>
      <c r="AU170" s="3" t="s">
        <v>192</v>
      </c>
      <c r="AV170" s="3" t="s">
        <v>192</v>
      </c>
      <c r="AW170" s="3" t="s">
        <v>192</v>
      </c>
      <c r="AX170" s="3" t="s">
        <v>192</v>
      </c>
      <c r="AY170" s="3" t="s">
        <v>192</v>
      </c>
      <c r="AZ170" s="3" t="s">
        <v>192</v>
      </c>
      <c r="BA170" s="3" t="s">
        <v>192</v>
      </c>
      <c r="BB170" s="3" t="s">
        <v>192</v>
      </c>
      <c r="BC170" s="3" t="s">
        <v>192</v>
      </c>
      <c r="BD170" s="3" t="s">
        <v>192</v>
      </c>
      <c r="BE170" s="3" t="s">
        <v>192</v>
      </c>
      <c r="BF170" s="3" t="s">
        <v>192</v>
      </c>
      <c r="BG170" s="3" t="s">
        <v>192</v>
      </c>
      <c r="BH170" s="3" t="s">
        <v>192</v>
      </c>
      <c r="BI170" s="3" t="s">
        <v>192</v>
      </c>
      <c r="BJ170" s="3" t="s">
        <v>192</v>
      </c>
      <c r="BK170" s="3" t="s">
        <v>192</v>
      </c>
      <c r="BL170" s="3" t="s">
        <v>192</v>
      </c>
      <c r="BM170" s="3" t="s">
        <v>192</v>
      </c>
      <c r="BN170" s="3" t="s">
        <v>192</v>
      </c>
      <c r="BO170" s="3" t="s">
        <v>192</v>
      </c>
      <c r="BP170" s="3" t="s">
        <v>192</v>
      </c>
      <c r="BQ170" s="3" t="s">
        <v>192</v>
      </c>
      <c r="BR170" s="3" t="s">
        <v>192</v>
      </c>
      <c r="BS170" s="3" t="s">
        <v>192</v>
      </c>
      <c r="BT170" s="3" t="s">
        <v>192</v>
      </c>
      <c r="BU170" s="3" t="s">
        <v>192</v>
      </c>
      <c r="BV170" s="3" t="s">
        <v>192</v>
      </c>
      <c r="BW170" s="3" t="s">
        <v>192</v>
      </c>
      <c r="BX170" s="3" t="s">
        <v>192</v>
      </c>
      <c r="BY170" s="3" t="s">
        <v>192</v>
      </c>
      <c r="BZ170" s="3" t="s">
        <v>192</v>
      </c>
      <c r="CA170" s="3" t="s">
        <v>192</v>
      </c>
      <c r="CB170" s="3" t="s">
        <v>192</v>
      </c>
      <c r="CC170" s="3" t="s">
        <v>192</v>
      </c>
      <c r="CD170" s="3" t="s">
        <v>192</v>
      </c>
      <c r="CE170" s="3" t="s">
        <v>192</v>
      </c>
      <c r="CF170" s="3" t="s">
        <v>192</v>
      </c>
      <c r="CG170" s="3">
        <v>2</v>
      </c>
      <c r="CH170" s="3" t="s">
        <v>192</v>
      </c>
      <c r="CI170" s="3" t="s">
        <v>192</v>
      </c>
      <c r="CJ170" s="3" t="s">
        <v>192</v>
      </c>
      <c r="CK170" s="3" t="s">
        <v>192</v>
      </c>
      <c r="CL170" s="3" t="s">
        <v>192</v>
      </c>
      <c r="CM170" s="3" t="s">
        <v>192</v>
      </c>
      <c r="CN170" s="3" t="s">
        <v>192</v>
      </c>
      <c r="CO170" s="3" t="s">
        <v>192</v>
      </c>
      <c r="CP170" s="3" t="s">
        <v>192</v>
      </c>
      <c r="CQ170" s="3" t="s">
        <v>192</v>
      </c>
      <c r="CR170" s="3" t="s">
        <v>192</v>
      </c>
      <c r="CS170" s="3" t="s">
        <v>192</v>
      </c>
      <c r="CT170" s="1">
        <f>SUM(Table7[[#This Row],[Acyl_amino_acids]:[T3PKS]])</f>
        <v>6</v>
      </c>
      <c r="CU170" s="3" t="s">
        <v>192</v>
      </c>
      <c r="CW170" s="1" t="str">
        <f>Table7[[#This Row],[NRPS]]</f>
        <v>-</v>
      </c>
      <c r="CX170" s="1">
        <f>SUM(CP170,CR170,CS170,Table7[[#This Row],[T1PKS, T3PKS]])</f>
        <v>0</v>
      </c>
      <c r="CY170" s="1">
        <f t="shared" si="2"/>
        <v>0</v>
      </c>
      <c r="CZ170" s="1">
        <f>Table7[[#This Row],[Terpene]]</f>
        <v>2</v>
      </c>
      <c r="DA170" s="1">
        <f>SUM(Table7[[#This Row],[Thiopeptide]],BH170,BF170,BE170,BC170,AZ170,AX170,AW170,AJ170,AH170,N170,L170,J170,H170,I170,K170,R170,Q170,Table7[[#This Row],[Cyanobactin, LAP]])</f>
        <v>4</v>
      </c>
      <c r="DB170" s="1">
        <f>SUM(CO170,CN170,CL170,CK170,CJ170,CI170,CH170,CF170,CE170,CD170,CB170,CA170,BZ170,BY170,BX170,BW170,BV170,BT170,BR170,BQ170,BP170,BO170,BM170,BK170,BJ170,BI170,BG170,BD170,BB170,BA170,AY170,AV170,AU170,AT170,AS170,AR170,AQ170,AP170,AO170,AN170,AM170,AL170,AK170,AG170,AF170,AE170,AD170,AC170,AB170,AA170,Z170,Y170,X170,W170,V170,U170,T170,S170,P170,O170,M170,Table7[[#This Row],[Acyl_amino_acids]],E170,F170,G170,)</f>
        <v>0</v>
      </c>
    </row>
    <row r="171" spans="1:106" x14ac:dyDescent="0.25">
      <c r="A171" s="9" t="s">
        <v>788</v>
      </c>
      <c r="B171" s="1" t="s">
        <v>435</v>
      </c>
      <c r="C171" s="1" t="s">
        <v>402</v>
      </c>
      <c r="D171" s="3" t="s">
        <v>192</v>
      </c>
      <c r="E171" s="3" t="s">
        <v>192</v>
      </c>
      <c r="F171" s="3" t="s">
        <v>192</v>
      </c>
      <c r="G171" s="3" t="s">
        <v>192</v>
      </c>
      <c r="H171" s="3" t="s">
        <v>192</v>
      </c>
      <c r="I171" s="3" t="s">
        <v>192</v>
      </c>
      <c r="J171" s="3" t="s">
        <v>192</v>
      </c>
      <c r="K171" s="3" t="s">
        <v>192</v>
      </c>
      <c r="L171" s="3" t="s">
        <v>192</v>
      </c>
      <c r="M171" s="3" t="s">
        <v>192</v>
      </c>
      <c r="N171" s="3" t="s">
        <v>192</v>
      </c>
      <c r="O171" s="3" t="s">
        <v>192</v>
      </c>
      <c r="P171" s="3" t="s">
        <v>192</v>
      </c>
      <c r="Q171" s="3" t="s">
        <v>192</v>
      </c>
      <c r="R171" s="3" t="s">
        <v>192</v>
      </c>
      <c r="S171" s="3" t="s">
        <v>192</v>
      </c>
      <c r="T171" s="3" t="s">
        <v>192</v>
      </c>
      <c r="U171" s="3" t="s">
        <v>192</v>
      </c>
      <c r="V171" s="3" t="s">
        <v>192</v>
      </c>
      <c r="W171" s="3" t="s">
        <v>192</v>
      </c>
      <c r="X171" s="3" t="s">
        <v>192</v>
      </c>
      <c r="Y171" s="3" t="s">
        <v>192</v>
      </c>
      <c r="Z171" s="3" t="s">
        <v>192</v>
      </c>
      <c r="AA171" s="3" t="s">
        <v>192</v>
      </c>
      <c r="AB171" s="3" t="s">
        <v>192</v>
      </c>
      <c r="AC171" s="3" t="s">
        <v>192</v>
      </c>
      <c r="AD171" s="3" t="s">
        <v>192</v>
      </c>
      <c r="AE171" s="3" t="s">
        <v>192</v>
      </c>
      <c r="AF171" s="3" t="s">
        <v>192</v>
      </c>
      <c r="AG171" s="3" t="s">
        <v>192</v>
      </c>
      <c r="AH171" s="3" t="s">
        <v>192</v>
      </c>
      <c r="AI171" s="3" t="s">
        <v>192</v>
      </c>
      <c r="AJ171" s="3" t="s">
        <v>192</v>
      </c>
      <c r="AK171" s="3" t="s">
        <v>192</v>
      </c>
      <c r="AL171" s="3" t="s">
        <v>192</v>
      </c>
      <c r="AM171" s="3" t="s">
        <v>192</v>
      </c>
      <c r="AN171" s="3" t="s">
        <v>192</v>
      </c>
      <c r="AO171" s="3" t="s">
        <v>192</v>
      </c>
      <c r="AP171" s="3" t="s">
        <v>192</v>
      </c>
      <c r="AQ171" s="3" t="s">
        <v>192</v>
      </c>
      <c r="AR171" s="3" t="s">
        <v>192</v>
      </c>
      <c r="AS171" s="3" t="s">
        <v>192</v>
      </c>
      <c r="AT171" s="3" t="s">
        <v>192</v>
      </c>
      <c r="AU171" s="3" t="s">
        <v>192</v>
      </c>
      <c r="AV171" s="3" t="s">
        <v>192</v>
      </c>
      <c r="AW171" s="3" t="s">
        <v>192</v>
      </c>
      <c r="AX171" s="3" t="s">
        <v>192</v>
      </c>
      <c r="AY171" s="3" t="s">
        <v>192</v>
      </c>
      <c r="AZ171" s="3" t="s">
        <v>192</v>
      </c>
      <c r="BA171" s="3" t="s">
        <v>192</v>
      </c>
      <c r="BB171" s="3" t="s">
        <v>192</v>
      </c>
      <c r="BC171" s="3" t="s">
        <v>192</v>
      </c>
      <c r="BD171" s="3" t="s">
        <v>192</v>
      </c>
      <c r="BE171" s="3" t="s">
        <v>192</v>
      </c>
      <c r="BF171" s="3" t="s">
        <v>192</v>
      </c>
      <c r="BG171" s="3" t="s">
        <v>192</v>
      </c>
      <c r="BH171" s="3" t="s">
        <v>192</v>
      </c>
      <c r="BI171" s="3" t="s">
        <v>192</v>
      </c>
      <c r="BJ171" s="3" t="s">
        <v>192</v>
      </c>
      <c r="BK171" s="3" t="s">
        <v>192</v>
      </c>
      <c r="BL171" s="3" t="s">
        <v>192</v>
      </c>
      <c r="BM171" s="3" t="s">
        <v>192</v>
      </c>
      <c r="BN171" s="3" t="s">
        <v>192</v>
      </c>
      <c r="BO171" s="3" t="s">
        <v>192</v>
      </c>
      <c r="BP171" s="3" t="s">
        <v>192</v>
      </c>
      <c r="BQ171" s="3" t="s">
        <v>192</v>
      </c>
      <c r="BR171" s="3" t="s">
        <v>192</v>
      </c>
      <c r="BS171" s="3" t="s">
        <v>192</v>
      </c>
      <c r="BT171" s="3" t="s">
        <v>192</v>
      </c>
      <c r="BU171" s="3" t="s">
        <v>192</v>
      </c>
      <c r="BV171" s="3" t="s">
        <v>192</v>
      </c>
      <c r="BW171" s="3" t="s">
        <v>192</v>
      </c>
      <c r="BX171" s="3" t="s">
        <v>192</v>
      </c>
      <c r="BY171" s="3" t="s">
        <v>192</v>
      </c>
      <c r="BZ171" s="3" t="s">
        <v>192</v>
      </c>
      <c r="CA171" s="3" t="s">
        <v>192</v>
      </c>
      <c r="CB171" s="3" t="s">
        <v>192</v>
      </c>
      <c r="CC171" s="3" t="s">
        <v>192</v>
      </c>
      <c r="CD171" s="3" t="s">
        <v>192</v>
      </c>
      <c r="CE171" s="3" t="s">
        <v>192</v>
      </c>
      <c r="CF171" s="3" t="s">
        <v>192</v>
      </c>
      <c r="CG171" s="3">
        <v>3</v>
      </c>
      <c r="CH171" s="3" t="s">
        <v>192</v>
      </c>
      <c r="CI171" s="3" t="s">
        <v>192</v>
      </c>
      <c r="CJ171" s="3" t="s">
        <v>192</v>
      </c>
      <c r="CK171" s="3" t="s">
        <v>192</v>
      </c>
      <c r="CL171" s="3" t="s">
        <v>192</v>
      </c>
      <c r="CM171" s="3" t="s">
        <v>192</v>
      </c>
      <c r="CN171" s="3" t="s">
        <v>192</v>
      </c>
      <c r="CO171" s="3" t="s">
        <v>192</v>
      </c>
      <c r="CP171" s="3" t="s">
        <v>192</v>
      </c>
      <c r="CQ171" s="3" t="s">
        <v>192</v>
      </c>
      <c r="CR171" s="3" t="s">
        <v>192</v>
      </c>
      <c r="CS171" s="3" t="s">
        <v>192</v>
      </c>
      <c r="CT171" s="1">
        <f>SUM(Table7[[#This Row],[Acyl_amino_acids]:[T3PKS]])</f>
        <v>3</v>
      </c>
      <c r="CU171" s="3" t="s">
        <v>192</v>
      </c>
      <c r="CW171" s="1" t="str">
        <f>Table7[[#This Row],[NRPS]]</f>
        <v>-</v>
      </c>
      <c r="CX171" s="1">
        <f>SUM(CP171,CR171,CS171,Table7[[#This Row],[T1PKS, T3PKS]])</f>
        <v>0</v>
      </c>
      <c r="CY171" s="1">
        <f t="shared" si="2"/>
        <v>0</v>
      </c>
      <c r="CZ171" s="1">
        <f>Table7[[#This Row],[Terpene]]</f>
        <v>3</v>
      </c>
      <c r="DA171" s="1">
        <f>SUM(Table7[[#This Row],[Thiopeptide]],BH171,BF171,BE171,BC171,AZ171,AX171,AW171,AJ171,AH171,N171,L171,J171,H171,I171,K171,R171,Q171,Table7[[#This Row],[Cyanobactin, LAP]])</f>
        <v>0</v>
      </c>
      <c r="DB171" s="1">
        <f>SUM(CO171,CN171,CL171,CK171,CJ171,CI171,CH171,CF171,CE171,CD171,CB171,CA171,BZ171,BY171,BX171,BW171,BV171,BT171,BR171,BQ171,BP171,BO171,BM171,BK171,BJ171,BI171,BG171,BD171,BB171,BA171,AY171,AV171,AU171,AT171,AS171,AR171,AQ171,AP171,AO171,AN171,AM171,AL171,AK171,AG171,AF171,AE171,AD171,AC171,AB171,AA171,Z171,Y171,X171,W171,V171,U171,T171,S171,P171,O171,M171,Table7[[#This Row],[Acyl_amino_acids]],E171,F171,G171,)</f>
        <v>0</v>
      </c>
    </row>
    <row r="172" spans="1:106" x14ac:dyDescent="0.25">
      <c r="A172" s="9" t="s">
        <v>732</v>
      </c>
      <c r="B172" s="1" t="s">
        <v>435</v>
      </c>
      <c r="C172" s="1" t="s">
        <v>403</v>
      </c>
      <c r="D172" s="1" t="s">
        <v>192</v>
      </c>
      <c r="E172" s="3" t="s">
        <v>192</v>
      </c>
      <c r="F172" s="3" t="s">
        <v>192</v>
      </c>
      <c r="G172" s="3" t="s">
        <v>192</v>
      </c>
      <c r="H172" s="3" t="s">
        <v>192</v>
      </c>
      <c r="I172" s="3" t="s">
        <v>192</v>
      </c>
      <c r="J172" s="3" t="s">
        <v>192</v>
      </c>
      <c r="K172" s="3" t="s">
        <v>192</v>
      </c>
      <c r="L172" s="3" t="s">
        <v>192</v>
      </c>
      <c r="M172" s="3" t="s">
        <v>192</v>
      </c>
      <c r="N172" s="3" t="s">
        <v>192</v>
      </c>
      <c r="O172" s="3" t="s">
        <v>192</v>
      </c>
      <c r="P172" s="3" t="s">
        <v>192</v>
      </c>
      <c r="Q172" s="3" t="s">
        <v>192</v>
      </c>
      <c r="R172" s="3" t="s">
        <v>192</v>
      </c>
      <c r="S172" s="3" t="s">
        <v>192</v>
      </c>
      <c r="T172" s="3" t="s">
        <v>192</v>
      </c>
      <c r="U172" s="3" t="s">
        <v>192</v>
      </c>
      <c r="V172" s="3" t="s">
        <v>192</v>
      </c>
      <c r="W172" s="3" t="s">
        <v>192</v>
      </c>
      <c r="X172" s="3" t="s">
        <v>192</v>
      </c>
      <c r="Y172" s="3" t="s">
        <v>192</v>
      </c>
      <c r="Z172" s="3" t="s">
        <v>192</v>
      </c>
      <c r="AA172" s="3" t="s">
        <v>192</v>
      </c>
      <c r="AB172" s="3" t="s">
        <v>192</v>
      </c>
      <c r="AC172" s="3" t="s">
        <v>192</v>
      </c>
      <c r="AD172" s="3" t="s">
        <v>192</v>
      </c>
      <c r="AE172" s="3" t="s">
        <v>192</v>
      </c>
      <c r="AF172" s="3" t="s">
        <v>192</v>
      </c>
      <c r="AG172" s="3" t="s">
        <v>192</v>
      </c>
      <c r="AH172" s="3" t="s">
        <v>192</v>
      </c>
      <c r="AI172" s="3" t="s">
        <v>192</v>
      </c>
      <c r="AJ172" s="3" t="s">
        <v>192</v>
      </c>
      <c r="AK172" s="3" t="s">
        <v>192</v>
      </c>
      <c r="AL172" s="3" t="s">
        <v>192</v>
      </c>
      <c r="AM172" s="3" t="s">
        <v>192</v>
      </c>
      <c r="AN172" s="3" t="s">
        <v>192</v>
      </c>
      <c r="AO172" s="3" t="s">
        <v>192</v>
      </c>
      <c r="AP172" s="3" t="s">
        <v>192</v>
      </c>
      <c r="AQ172" s="3" t="s">
        <v>192</v>
      </c>
      <c r="AR172" s="3" t="s">
        <v>192</v>
      </c>
      <c r="AS172" s="3" t="s">
        <v>192</v>
      </c>
      <c r="AT172" s="3" t="s">
        <v>192</v>
      </c>
      <c r="AU172" s="3" t="s">
        <v>192</v>
      </c>
      <c r="AV172" s="3" t="s">
        <v>192</v>
      </c>
      <c r="AW172" s="3" t="s">
        <v>192</v>
      </c>
      <c r="AX172" s="3" t="s">
        <v>192</v>
      </c>
      <c r="AY172" s="3" t="s">
        <v>192</v>
      </c>
      <c r="AZ172" s="3" t="s">
        <v>192</v>
      </c>
      <c r="BA172" s="3" t="s">
        <v>192</v>
      </c>
      <c r="BB172" s="3" t="s">
        <v>192</v>
      </c>
      <c r="BC172" s="3" t="s">
        <v>192</v>
      </c>
      <c r="BD172" s="3" t="s">
        <v>192</v>
      </c>
      <c r="BE172" s="3" t="s">
        <v>192</v>
      </c>
      <c r="BF172" s="3" t="s">
        <v>192</v>
      </c>
      <c r="BG172" s="3" t="s">
        <v>192</v>
      </c>
      <c r="BH172" s="3" t="s">
        <v>192</v>
      </c>
      <c r="BI172" s="3" t="s">
        <v>192</v>
      </c>
      <c r="BJ172" s="3" t="s">
        <v>192</v>
      </c>
      <c r="BK172" s="3" t="s">
        <v>192</v>
      </c>
      <c r="BL172" s="3" t="s">
        <v>192</v>
      </c>
      <c r="BM172" s="3" t="s">
        <v>192</v>
      </c>
      <c r="BN172" s="3" t="s">
        <v>192</v>
      </c>
      <c r="BO172" s="3" t="s">
        <v>192</v>
      </c>
      <c r="BP172" s="3" t="s">
        <v>192</v>
      </c>
      <c r="BQ172" s="3" t="s">
        <v>192</v>
      </c>
      <c r="BR172" s="3" t="s">
        <v>192</v>
      </c>
      <c r="BS172" s="3" t="s">
        <v>192</v>
      </c>
      <c r="BT172" s="3" t="s">
        <v>192</v>
      </c>
      <c r="BU172" s="3" t="s">
        <v>192</v>
      </c>
      <c r="BV172" s="3" t="s">
        <v>192</v>
      </c>
      <c r="BW172" s="3" t="s">
        <v>192</v>
      </c>
      <c r="BX172" s="3" t="s">
        <v>192</v>
      </c>
      <c r="BY172" s="3" t="s">
        <v>192</v>
      </c>
      <c r="BZ172" s="3" t="s">
        <v>192</v>
      </c>
      <c r="CA172" s="3" t="s">
        <v>192</v>
      </c>
      <c r="CB172" s="3" t="s">
        <v>192</v>
      </c>
      <c r="CC172" s="3" t="s">
        <v>192</v>
      </c>
      <c r="CD172" s="3" t="s">
        <v>192</v>
      </c>
      <c r="CE172" s="3" t="s">
        <v>192</v>
      </c>
      <c r="CF172" s="3" t="s">
        <v>192</v>
      </c>
      <c r="CG172" s="3">
        <v>3</v>
      </c>
      <c r="CH172" s="3" t="s">
        <v>192</v>
      </c>
      <c r="CI172" s="3" t="s">
        <v>192</v>
      </c>
      <c r="CJ172" s="3" t="s">
        <v>192</v>
      </c>
      <c r="CK172" s="3" t="s">
        <v>192</v>
      </c>
      <c r="CL172" s="3" t="s">
        <v>192</v>
      </c>
      <c r="CM172" s="3" t="s">
        <v>192</v>
      </c>
      <c r="CN172" s="3" t="s">
        <v>192</v>
      </c>
      <c r="CO172" s="3" t="s">
        <v>192</v>
      </c>
      <c r="CP172" s="3" t="s">
        <v>192</v>
      </c>
      <c r="CQ172" s="3" t="s">
        <v>192</v>
      </c>
      <c r="CR172" s="3" t="s">
        <v>192</v>
      </c>
      <c r="CS172" s="3" t="s">
        <v>192</v>
      </c>
      <c r="CT172" s="1">
        <f>SUM(Table7[[#This Row],[Acyl_amino_acids]:[T3PKS]])</f>
        <v>3</v>
      </c>
      <c r="CU172" s="3" t="s">
        <v>192</v>
      </c>
      <c r="CW172" s="1" t="str">
        <f>Table7[[#This Row],[NRPS]]</f>
        <v>-</v>
      </c>
      <c r="CX172" s="1">
        <f>SUM(CP172,CR172,CS172,Table7[[#This Row],[T1PKS, T3PKS]])</f>
        <v>0</v>
      </c>
      <c r="CY172" s="1">
        <f t="shared" si="2"/>
        <v>0</v>
      </c>
      <c r="CZ172" s="1">
        <f>Table7[[#This Row],[Terpene]]</f>
        <v>3</v>
      </c>
      <c r="DA172" s="1">
        <f>SUM(Table7[[#This Row],[Thiopeptide]],BH172,BF172,BE172,BC172,AZ172,AX172,AW172,AJ172,AH172,N172,L172,J172,H172,I172,K172,R172,Q172,Table7[[#This Row],[Cyanobactin, LAP]])</f>
        <v>0</v>
      </c>
      <c r="DB172" s="1">
        <f>SUM(CO172,CN172,CL172,CK172,CJ172,CI172,CH172,CF172,CE172,CD172,CB172,CA172,BZ172,BY172,BX172,BW172,BV172,BT172,BR172,BQ172,BP172,BO172,BM172,BK172,BJ172,BI172,BG172,BD172,BB172,BA172,AY172,AV172,AU172,AT172,AS172,AR172,AQ172,AP172,AO172,AN172,AM172,AL172,AK172,AG172,AF172,AE172,AD172,AC172,AB172,AA172,Z172,Y172,X172,W172,V172,U172,T172,S172,P172,O172,M172,Table7[[#This Row],[Acyl_amino_acids]],E172,F172,G172,)</f>
        <v>0</v>
      </c>
    </row>
    <row r="173" spans="1:106" x14ac:dyDescent="0.25">
      <c r="A173" s="1" t="s">
        <v>668</v>
      </c>
      <c r="B173" s="1" t="s">
        <v>435</v>
      </c>
      <c r="C173" s="1" t="s">
        <v>245</v>
      </c>
      <c r="D173" s="1" t="s">
        <v>192</v>
      </c>
      <c r="E173" s="1" t="s">
        <v>192</v>
      </c>
      <c r="F173" s="1" t="s">
        <v>192</v>
      </c>
      <c r="G173" s="1" t="s">
        <v>192</v>
      </c>
      <c r="H173" s="1" t="s">
        <v>192</v>
      </c>
      <c r="I173" s="1" t="s">
        <v>192</v>
      </c>
      <c r="J173" s="1" t="s">
        <v>192</v>
      </c>
      <c r="K173" s="1" t="s">
        <v>192</v>
      </c>
      <c r="L173" s="1" t="s">
        <v>192</v>
      </c>
      <c r="M173" s="1" t="s">
        <v>192</v>
      </c>
      <c r="N173" s="1" t="s">
        <v>192</v>
      </c>
      <c r="O173" s="1" t="s">
        <v>192</v>
      </c>
      <c r="P173" s="1" t="s">
        <v>192</v>
      </c>
      <c r="Q173" s="1" t="s">
        <v>192</v>
      </c>
      <c r="R173" s="1" t="s">
        <v>192</v>
      </c>
      <c r="S173" s="1" t="s">
        <v>192</v>
      </c>
      <c r="T173" s="1" t="s">
        <v>192</v>
      </c>
      <c r="U173" s="1" t="s">
        <v>192</v>
      </c>
      <c r="V173" s="1" t="s">
        <v>192</v>
      </c>
      <c r="W173" s="1" t="s">
        <v>192</v>
      </c>
      <c r="X173" s="1" t="s">
        <v>192</v>
      </c>
      <c r="Y173" s="1" t="s">
        <v>192</v>
      </c>
      <c r="Z173" s="1" t="s">
        <v>192</v>
      </c>
      <c r="AA173" s="1" t="s">
        <v>192</v>
      </c>
      <c r="AB173" s="1" t="s">
        <v>192</v>
      </c>
      <c r="AC173" s="1" t="s">
        <v>192</v>
      </c>
      <c r="AD173" s="1" t="s">
        <v>192</v>
      </c>
      <c r="AE173" s="1" t="s">
        <v>192</v>
      </c>
      <c r="AF173" s="1" t="s">
        <v>192</v>
      </c>
      <c r="AG173" s="1" t="s">
        <v>192</v>
      </c>
      <c r="AH173" s="1" t="s">
        <v>192</v>
      </c>
      <c r="AI173" s="1" t="s">
        <v>192</v>
      </c>
      <c r="AJ173" s="1" t="s">
        <v>192</v>
      </c>
      <c r="AK173" s="1" t="s">
        <v>192</v>
      </c>
      <c r="AL173" s="1" t="s">
        <v>192</v>
      </c>
      <c r="AM173" s="1" t="s">
        <v>192</v>
      </c>
      <c r="AN173" s="1" t="s">
        <v>192</v>
      </c>
      <c r="AO173" s="1" t="s">
        <v>192</v>
      </c>
      <c r="AP173" s="1" t="s">
        <v>192</v>
      </c>
      <c r="AQ173" s="1" t="s">
        <v>192</v>
      </c>
      <c r="AR173" s="1" t="s">
        <v>192</v>
      </c>
      <c r="AS173" s="1" t="s">
        <v>192</v>
      </c>
      <c r="AT173" s="1" t="s">
        <v>192</v>
      </c>
      <c r="AU173" s="1" t="s">
        <v>192</v>
      </c>
      <c r="AV173" s="1" t="s">
        <v>192</v>
      </c>
      <c r="AW173" s="1" t="s">
        <v>192</v>
      </c>
      <c r="AX173" s="1" t="s">
        <v>192</v>
      </c>
      <c r="AY173" s="1" t="s">
        <v>192</v>
      </c>
      <c r="AZ173" s="1" t="s">
        <v>192</v>
      </c>
      <c r="BA173" s="1" t="s">
        <v>192</v>
      </c>
      <c r="BB173" s="1" t="s">
        <v>192</v>
      </c>
      <c r="BC173" s="1" t="s">
        <v>192</v>
      </c>
      <c r="BD173" s="1" t="s">
        <v>192</v>
      </c>
      <c r="BE173" s="1" t="s">
        <v>192</v>
      </c>
      <c r="BF173" s="1" t="s">
        <v>192</v>
      </c>
      <c r="BG173" s="1" t="s">
        <v>192</v>
      </c>
      <c r="BH173" s="1" t="s">
        <v>192</v>
      </c>
      <c r="BI173" s="1" t="s">
        <v>192</v>
      </c>
      <c r="BJ173" s="1" t="s">
        <v>192</v>
      </c>
      <c r="BK173" s="1" t="s">
        <v>192</v>
      </c>
      <c r="BL173" s="1" t="s">
        <v>192</v>
      </c>
      <c r="BM173" s="1" t="s">
        <v>192</v>
      </c>
      <c r="BN173" s="1" t="s">
        <v>192</v>
      </c>
      <c r="BO173" s="1" t="s">
        <v>192</v>
      </c>
      <c r="BP173" s="1" t="s">
        <v>192</v>
      </c>
      <c r="BQ173" s="1" t="s">
        <v>192</v>
      </c>
      <c r="BR173" s="1" t="s">
        <v>192</v>
      </c>
      <c r="BS173" s="1" t="s">
        <v>192</v>
      </c>
      <c r="BT173" s="1" t="s">
        <v>192</v>
      </c>
      <c r="BU173" s="1" t="s">
        <v>192</v>
      </c>
      <c r="BV173" s="1" t="s">
        <v>192</v>
      </c>
      <c r="BW173" s="1" t="s">
        <v>192</v>
      </c>
      <c r="BX173" s="1" t="s">
        <v>192</v>
      </c>
      <c r="BY173" s="1" t="s">
        <v>192</v>
      </c>
      <c r="BZ173" s="1" t="s">
        <v>192</v>
      </c>
      <c r="CA173" s="1" t="s">
        <v>192</v>
      </c>
      <c r="CB173" s="1" t="s">
        <v>192</v>
      </c>
      <c r="CC173" s="1" t="s">
        <v>192</v>
      </c>
      <c r="CD173" s="1" t="s">
        <v>192</v>
      </c>
      <c r="CE173" s="1" t="s">
        <v>192</v>
      </c>
      <c r="CF173" s="1" t="s">
        <v>192</v>
      </c>
      <c r="CG173" s="1">
        <v>3</v>
      </c>
      <c r="CH173" s="1" t="s">
        <v>192</v>
      </c>
      <c r="CI173" s="1" t="s">
        <v>192</v>
      </c>
      <c r="CJ173" s="1" t="s">
        <v>192</v>
      </c>
      <c r="CK173" s="1" t="s">
        <v>192</v>
      </c>
      <c r="CL173" s="1" t="s">
        <v>192</v>
      </c>
      <c r="CM173" s="1" t="s">
        <v>192</v>
      </c>
      <c r="CN173" s="1" t="s">
        <v>192</v>
      </c>
      <c r="CO173" s="1" t="s">
        <v>192</v>
      </c>
      <c r="CP173" s="1" t="s">
        <v>192</v>
      </c>
      <c r="CQ173" s="1" t="s">
        <v>192</v>
      </c>
      <c r="CR173" s="1" t="s">
        <v>192</v>
      </c>
      <c r="CS173" s="1" t="s">
        <v>192</v>
      </c>
      <c r="CT173" s="1">
        <f>SUM(Table7[[#This Row],[Acyl_amino_acids]:[T3PKS]])</f>
        <v>3</v>
      </c>
      <c r="CU173" s="1" t="s">
        <v>192</v>
      </c>
      <c r="CW173" s="1" t="str">
        <f>Table7[[#This Row],[NRPS]]</f>
        <v>-</v>
      </c>
      <c r="CX173" s="1">
        <f>SUM(CP173,CR173,CS173,Table7[[#This Row],[T1PKS, T3PKS]])</f>
        <v>0</v>
      </c>
      <c r="CY173" s="1">
        <f t="shared" si="2"/>
        <v>0</v>
      </c>
      <c r="CZ173" s="1">
        <f>Table7[[#This Row],[Terpene]]</f>
        <v>3</v>
      </c>
      <c r="DA173" s="1">
        <f>SUM(Table7[[#This Row],[Thiopeptide]],BH173,BF173,BE173,BC173,AZ173,AX173,AW173,AJ173,AH173,N173,L173,J173,H173,I173,K173,R173,Q173,Table7[[#This Row],[Cyanobactin, LAP]])</f>
        <v>0</v>
      </c>
      <c r="DB173" s="1">
        <f>SUM(CO173,CN173,CL173,CK173,CJ173,CI173,CH173,CF173,CE173,CD173,CB173,CA173,BZ173,BY173,BX173,BW173,BV173,BT173,BR173,BQ173,BP173,BO173,BM173,BK173,BJ173,BI173,BG173,BD173,BB173,BA173,AY173,AV173,AU173,AT173,AS173,AR173,AQ173,AP173,AO173,AN173,AM173,AL173,AK173,AG173,AF173,AE173,AD173,AC173,AB173,AA173,Z173,Y173,X173,W173,V173,U173,T173,S173,P173,O173,M173,Table7[[#This Row],[Acyl_amino_acids]],E173,F173,G173,)</f>
        <v>0</v>
      </c>
    </row>
    <row r="174" spans="1:106" x14ac:dyDescent="0.25">
      <c r="A174" s="9" t="s">
        <v>668</v>
      </c>
      <c r="B174" s="1" t="s">
        <v>435</v>
      </c>
      <c r="C174" s="1" t="s">
        <v>405</v>
      </c>
      <c r="D174" s="1" t="s">
        <v>192</v>
      </c>
      <c r="E174" s="3" t="s">
        <v>192</v>
      </c>
      <c r="F174" s="3" t="s">
        <v>192</v>
      </c>
      <c r="G174" s="3" t="s">
        <v>192</v>
      </c>
      <c r="H174" s="3" t="s">
        <v>192</v>
      </c>
      <c r="I174" s="3" t="s">
        <v>192</v>
      </c>
      <c r="J174" s="3" t="s">
        <v>192</v>
      </c>
      <c r="K174" s="3" t="s">
        <v>192</v>
      </c>
      <c r="L174" s="3" t="s">
        <v>192</v>
      </c>
      <c r="M174" s="3" t="s">
        <v>192</v>
      </c>
      <c r="N174" s="3" t="s">
        <v>192</v>
      </c>
      <c r="O174" s="3" t="s">
        <v>192</v>
      </c>
      <c r="P174" s="3" t="s">
        <v>192</v>
      </c>
      <c r="Q174" s="3" t="s">
        <v>192</v>
      </c>
      <c r="R174" s="3" t="s">
        <v>192</v>
      </c>
      <c r="S174" s="3" t="s">
        <v>192</v>
      </c>
      <c r="T174" s="3" t="s">
        <v>192</v>
      </c>
      <c r="U174" s="3" t="s">
        <v>192</v>
      </c>
      <c r="V174" s="3" t="s">
        <v>192</v>
      </c>
      <c r="W174" s="3" t="s">
        <v>192</v>
      </c>
      <c r="X174" s="3" t="s">
        <v>192</v>
      </c>
      <c r="Y174" s="3" t="s">
        <v>192</v>
      </c>
      <c r="Z174" s="3" t="s">
        <v>192</v>
      </c>
      <c r="AA174" s="3" t="s">
        <v>192</v>
      </c>
      <c r="AB174" s="3" t="s">
        <v>192</v>
      </c>
      <c r="AC174" s="3" t="s">
        <v>192</v>
      </c>
      <c r="AD174" s="3" t="s">
        <v>192</v>
      </c>
      <c r="AE174" s="3" t="s">
        <v>192</v>
      </c>
      <c r="AF174" s="3" t="s">
        <v>192</v>
      </c>
      <c r="AG174" s="3" t="s">
        <v>192</v>
      </c>
      <c r="AH174" s="3" t="s">
        <v>192</v>
      </c>
      <c r="AI174" s="3" t="s">
        <v>192</v>
      </c>
      <c r="AJ174" s="3" t="s">
        <v>192</v>
      </c>
      <c r="AK174" s="3" t="s">
        <v>192</v>
      </c>
      <c r="AL174" s="3" t="s">
        <v>192</v>
      </c>
      <c r="AM174" s="3" t="s">
        <v>192</v>
      </c>
      <c r="AN174" s="3" t="s">
        <v>192</v>
      </c>
      <c r="AO174" s="3" t="s">
        <v>192</v>
      </c>
      <c r="AP174" s="3" t="s">
        <v>192</v>
      </c>
      <c r="AQ174" s="3" t="s">
        <v>192</v>
      </c>
      <c r="AR174" s="3" t="s">
        <v>192</v>
      </c>
      <c r="AS174" s="3" t="s">
        <v>192</v>
      </c>
      <c r="AT174" s="3" t="s">
        <v>192</v>
      </c>
      <c r="AU174" s="3" t="s">
        <v>192</v>
      </c>
      <c r="AV174" s="3" t="s">
        <v>192</v>
      </c>
      <c r="AW174" s="3" t="s">
        <v>192</v>
      </c>
      <c r="AX174" s="3" t="s">
        <v>192</v>
      </c>
      <c r="AY174" s="3" t="s">
        <v>192</v>
      </c>
      <c r="AZ174" s="3" t="s">
        <v>192</v>
      </c>
      <c r="BA174" s="3" t="s">
        <v>192</v>
      </c>
      <c r="BB174" s="3" t="s">
        <v>192</v>
      </c>
      <c r="BC174" s="3" t="s">
        <v>192</v>
      </c>
      <c r="BD174" s="3" t="s">
        <v>192</v>
      </c>
      <c r="BE174" s="3" t="s">
        <v>192</v>
      </c>
      <c r="BF174" s="3" t="s">
        <v>192</v>
      </c>
      <c r="BG174" s="3" t="s">
        <v>192</v>
      </c>
      <c r="BH174" s="3" t="s">
        <v>192</v>
      </c>
      <c r="BI174" s="3" t="s">
        <v>192</v>
      </c>
      <c r="BJ174" s="3" t="s">
        <v>192</v>
      </c>
      <c r="BK174" s="3" t="s">
        <v>192</v>
      </c>
      <c r="BL174" s="3" t="s">
        <v>192</v>
      </c>
      <c r="BM174" s="3" t="s">
        <v>192</v>
      </c>
      <c r="BN174" s="3" t="s">
        <v>192</v>
      </c>
      <c r="BO174" s="3" t="s">
        <v>192</v>
      </c>
      <c r="BP174" s="3" t="s">
        <v>192</v>
      </c>
      <c r="BQ174" s="3" t="s">
        <v>192</v>
      </c>
      <c r="BR174" s="3" t="s">
        <v>192</v>
      </c>
      <c r="BS174" s="3" t="s">
        <v>192</v>
      </c>
      <c r="BT174" s="3" t="s">
        <v>192</v>
      </c>
      <c r="BU174" s="3" t="s">
        <v>192</v>
      </c>
      <c r="BV174" s="3" t="s">
        <v>192</v>
      </c>
      <c r="BW174" s="3" t="s">
        <v>192</v>
      </c>
      <c r="BX174" s="3" t="s">
        <v>192</v>
      </c>
      <c r="BY174" s="3" t="s">
        <v>192</v>
      </c>
      <c r="BZ174" s="3" t="s">
        <v>192</v>
      </c>
      <c r="CA174" s="3" t="s">
        <v>192</v>
      </c>
      <c r="CB174" s="3" t="s">
        <v>192</v>
      </c>
      <c r="CC174" s="3" t="s">
        <v>192</v>
      </c>
      <c r="CD174" s="3" t="s">
        <v>192</v>
      </c>
      <c r="CE174" s="3" t="s">
        <v>192</v>
      </c>
      <c r="CF174" s="3" t="s">
        <v>192</v>
      </c>
      <c r="CG174" s="3">
        <v>3</v>
      </c>
      <c r="CH174" s="3" t="s">
        <v>192</v>
      </c>
      <c r="CI174" s="3" t="s">
        <v>192</v>
      </c>
      <c r="CJ174" s="3" t="s">
        <v>192</v>
      </c>
      <c r="CK174" s="3" t="s">
        <v>192</v>
      </c>
      <c r="CL174" s="3" t="s">
        <v>192</v>
      </c>
      <c r="CM174" s="3" t="s">
        <v>192</v>
      </c>
      <c r="CN174" s="3" t="s">
        <v>192</v>
      </c>
      <c r="CO174" s="3" t="s">
        <v>192</v>
      </c>
      <c r="CP174" s="3" t="s">
        <v>192</v>
      </c>
      <c r="CQ174" s="3" t="s">
        <v>192</v>
      </c>
      <c r="CR174" s="3" t="s">
        <v>192</v>
      </c>
      <c r="CS174" s="3" t="s">
        <v>192</v>
      </c>
      <c r="CT174" s="1">
        <f>SUM(Table7[[#This Row],[Acyl_amino_acids]:[T3PKS]])</f>
        <v>3</v>
      </c>
      <c r="CU174" s="3" t="s">
        <v>192</v>
      </c>
      <c r="CW174" s="1" t="str">
        <f>Table7[[#This Row],[NRPS]]</f>
        <v>-</v>
      </c>
      <c r="CX174" s="1">
        <f>SUM(CP174,CR174,CS174,Table7[[#This Row],[T1PKS, T3PKS]])</f>
        <v>0</v>
      </c>
      <c r="CY174" s="1">
        <f t="shared" si="2"/>
        <v>0</v>
      </c>
      <c r="CZ174" s="1">
        <f>Table7[[#This Row],[Terpene]]</f>
        <v>3</v>
      </c>
      <c r="DA174" s="1">
        <f>SUM(Table7[[#This Row],[Thiopeptide]],BH174,BF174,BE174,BC174,AZ174,AX174,AW174,AJ174,AH174,N174,L174,J174,H174,I174,K174,R174,Q174,Table7[[#This Row],[Cyanobactin, LAP]])</f>
        <v>0</v>
      </c>
      <c r="DB174" s="1">
        <f>SUM(CO174,CN174,CL174,CK174,CJ174,CI174,CH174,CF174,CE174,CD174,CB174,CA174,BZ174,BY174,BX174,BW174,BV174,BT174,BR174,BQ174,BP174,BO174,BM174,BK174,BJ174,BI174,BG174,BD174,BB174,BA174,AY174,AV174,AU174,AT174,AS174,AR174,AQ174,AP174,AO174,AN174,AM174,AL174,AK174,AG174,AF174,AE174,AD174,AC174,AB174,AA174,Z174,Y174,X174,W174,V174,U174,T174,S174,P174,O174,M174,Table7[[#This Row],[Acyl_amino_acids]],E174,F174,G174,)</f>
        <v>0</v>
      </c>
    </row>
    <row r="175" spans="1:106" x14ac:dyDescent="0.25">
      <c r="A175" s="9" t="s">
        <v>668</v>
      </c>
      <c r="B175" s="1" t="s">
        <v>435</v>
      </c>
      <c r="C175" s="1" t="s">
        <v>406</v>
      </c>
      <c r="D175" s="1" t="s">
        <v>192</v>
      </c>
      <c r="E175" s="3" t="s">
        <v>192</v>
      </c>
      <c r="F175" s="3" t="s">
        <v>192</v>
      </c>
      <c r="G175" s="3" t="s">
        <v>192</v>
      </c>
      <c r="H175" s="3" t="s">
        <v>192</v>
      </c>
      <c r="I175" s="3" t="s">
        <v>192</v>
      </c>
      <c r="J175" s="3" t="s">
        <v>192</v>
      </c>
      <c r="K175" s="3" t="s">
        <v>192</v>
      </c>
      <c r="L175" s="3" t="s">
        <v>192</v>
      </c>
      <c r="M175" s="3" t="s">
        <v>192</v>
      </c>
      <c r="N175" s="3" t="s">
        <v>192</v>
      </c>
      <c r="O175" s="3" t="s">
        <v>192</v>
      </c>
      <c r="P175" s="3" t="s">
        <v>192</v>
      </c>
      <c r="Q175" s="3" t="s">
        <v>192</v>
      </c>
      <c r="R175" s="3" t="s">
        <v>192</v>
      </c>
      <c r="S175" s="3" t="s">
        <v>192</v>
      </c>
      <c r="T175" s="3" t="s">
        <v>192</v>
      </c>
      <c r="U175" s="3" t="s">
        <v>192</v>
      </c>
      <c r="V175" s="3" t="s">
        <v>192</v>
      </c>
      <c r="W175" s="3" t="s">
        <v>192</v>
      </c>
      <c r="X175" s="3" t="s">
        <v>192</v>
      </c>
      <c r="Y175" s="3" t="s">
        <v>192</v>
      </c>
      <c r="Z175" s="3" t="s">
        <v>192</v>
      </c>
      <c r="AA175" s="3" t="s">
        <v>192</v>
      </c>
      <c r="AB175" s="3" t="s">
        <v>192</v>
      </c>
      <c r="AC175" s="3" t="s">
        <v>192</v>
      </c>
      <c r="AD175" s="3" t="s">
        <v>192</v>
      </c>
      <c r="AE175" s="3" t="s">
        <v>192</v>
      </c>
      <c r="AF175" s="3" t="s">
        <v>192</v>
      </c>
      <c r="AG175" s="3" t="s">
        <v>192</v>
      </c>
      <c r="AH175" s="3" t="s">
        <v>192</v>
      </c>
      <c r="AI175" s="3" t="s">
        <v>192</v>
      </c>
      <c r="AJ175" s="3" t="s">
        <v>192</v>
      </c>
      <c r="AK175" s="3" t="s">
        <v>192</v>
      </c>
      <c r="AL175" s="3" t="s">
        <v>192</v>
      </c>
      <c r="AM175" s="3" t="s">
        <v>192</v>
      </c>
      <c r="AN175" s="3" t="s">
        <v>192</v>
      </c>
      <c r="AO175" s="3" t="s">
        <v>192</v>
      </c>
      <c r="AP175" s="3" t="s">
        <v>192</v>
      </c>
      <c r="AQ175" s="3" t="s">
        <v>192</v>
      </c>
      <c r="AR175" s="3" t="s">
        <v>192</v>
      </c>
      <c r="AS175" s="3" t="s">
        <v>192</v>
      </c>
      <c r="AT175" s="3" t="s">
        <v>192</v>
      </c>
      <c r="AU175" s="3" t="s">
        <v>192</v>
      </c>
      <c r="AV175" s="3" t="s">
        <v>192</v>
      </c>
      <c r="AW175" s="3" t="s">
        <v>192</v>
      </c>
      <c r="AX175" s="3" t="s">
        <v>192</v>
      </c>
      <c r="AY175" s="3" t="s">
        <v>192</v>
      </c>
      <c r="AZ175" s="3" t="s">
        <v>192</v>
      </c>
      <c r="BA175" s="3" t="s">
        <v>192</v>
      </c>
      <c r="BB175" s="3" t="s">
        <v>192</v>
      </c>
      <c r="BC175" s="3" t="s">
        <v>192</v>
      </c>
      <c r="BD175" s="3" t="s">
        <v>192</v>
      </c>
      <c r="BE175" s="3" t="s">
        <v>192</v>
      </c>
      <c r="BF175" s="3" t="s">
        <v>192</v>
      </c>
      <c r="BG175" s="3" t="s">
        <v>192</v>
      </c>
      <c r="BH175" s="3" t="s">
        <v>192</v>
      </c>
      <c r="BI175" s="3" t="s">
        <v>192</v>
      </c>
      <c r="BJ175" s="3" t="s">
        <v>192</v>
      </c>
      <c r="BK175" s="3" t="s">
        <v>192</v>
      </c>
      <c r="BL175" s="3" t="s">
        <v>192</v>
      </c>
      <c r="BM175" s="3" t="s">
        <v>192</v>
      </c>
      <c r="BN175" s="3" t="s">
        <v>192</v>
      </c>
      <c r="BO175" s="3" t="s">
        <v>192</v>
      </c>
      <c r="BP175" s="3" t="s">
        <v>192</v>
      </c>
      <c r="BQ175" s="3" t="s">
        <v>192</v>
      </c>
      <c r="BR175" s="3" t="s">
        <v>192</v>
      </c>
      <c r="BS175" s="3" t="s">
        <v>192</v>
      </c>
      <c r="BT175" s="3" t="s">
        <v>192</v>
      </c>
      <c r="BU175" s="3" t="s">
        <v>192</v>
      </c>
      <c r="BV175" s="3" t="s">
        <v>192</v>
      </c>
      <c r="BW175" s="3" t="s">
        <v>192</v>
      </c>
      <c r="BX175" s="3" t="s">
        <v>192</v>
      </c>
      <c r="BY175" s="3" t="s">
        <v>192</v>
      </c>
      <c r="BZ175" s="3" t="s">
        <v>192</v>
      </c>
      <c r="CA175" s="3" t="s">
        <v>192</v>
      </c>
      <c r="CB175" s="3" t="s">
        <v>192</v>
      </c>
      <c r="CC175" s="3" t="s">
        <v>192</v>
      </c>
      <c r="CD175" s="3" t="s">
        <v>192</v>
      </c>
      <c r="CE175" s="3" t="s">
        <v>192</v>
      </c>
      <c r="CF175" s="3" t="s">
        <v>192</v>
      </c>
      <c r="CG175" s="3">
        <v>3</v>
      </c>
      <c r="CH175" s="3" t="s">
        <v>192</v>
      </c>
      <c r="CI175" s="3" t="s">
        <v>192</v>
      </c>
      <c r="CJ175" s="3" t="s">
        <v>192</v>
      </c>
      <c r="CK175" s="3" t="s">
        <v>192</v>
      </c>
      <c r="CL175" s="3" t="s">
        <v>192</v>
      </c>
      <c r="CM175" s="3" t="s">
        <v>192</v>
      </c>
      <c r="CN175" s="3" t="s">
        <v>192</v>
      </c>
      <c r="CO175" s="3" t="s">
        <v>192</v>
      </c>
      <c r="CP175" s="3" t="s">
        <v>192</v>
      </c>
      <c r="CQ175" s="3" t="s">
        <v>192</v>
      </c>
      <c r="CR175" s="3" t="s">
        <v>192</v>
      </c>
      <c r="CS175" s="3" t="s">
        <v>192</v>
      </c>
      <c r="CT175" s="1">
        <f>SUM(Table7[[#This Row],[Acyl_amino_acids]:[T3PKS]])</f>
        <v>3</v>
      </c>
      <c r="CU175" s="3" t="s">
        <v>192</v>
      </c>
      <c r="CW175" s="1" t="str">
        <f>Table7[[#This Row],[NRPS]]</f>
        <v>-</v>
      </c>
      <c r="CX175" s="1">
        <f>SUM(CP175,CR175,CS175,Table7[[#This Row],[T1PKS, T3PKS]])</f>
        <v>0</v>
      </c>
      <c r="CY175" s="1">
        <f t="shared" si="2"/>
        <v>0</v>
      </c>
      <c r="CZ175" s="1">
        <f>Table7[[#This Row],[Terpene]]</f>
        <v>3</v>
      </c>
      <c r="DA175" s="1">
        <f>SUM(Table7[[#This Row],[Thiopeptide]],BH175,BF175,BE175,BC175,AZ175,AX175,AW175,AJ175,AH175,N175,L175,J175,H175,I175,K175,R175,Q175,Table7[[#This Row],[Cyanobactin, LAP]])</f>
        <v>0</v>
      </c>
      <c r="DB175" s="1">
        <f>SUM(CO175,CN175,CL175,CK175,CJ175,CI175,CH175,CF175,CE175,CD175,CB175,CA175,BZ175,BY175,BX175,BW175,BV175,BT175,BR175,BQ175,BP175,BO175,BM175,BK175,BJ175,BI175,BG175,BD175,BB175,BA175,AY175,AV175,AU175,AT175,AS175,AR175,AQ175,AP175,AO175,AN175,AM175,AL175,AK175,AG175,AF175,AE175,AD175,AC175,AB175,AA175,Z175,Y175,X175,W175,V175,U175,T175,S175,P175,O175,M175,Table7[[#This Row],[Acyl_amino_acids]],E175,F175,G175,)</f>
        <v>0</v>
      </c>
    </row>
    <row r="176" spans="1:106" x14ac:dyDescent="0.25">
      <c r="A176" s="9" t="s">
        <v>702</v>
      </c>
      <c r="B176" s="1" t="s">
        <v>435</v>
      </c>
      <c r="C176" s="1" t="s">
        <v>404</v>
      </c>
      <c r="D176" s="1" t="s">
        <v>192</v>
      </c>
      <c r="E176" s="1" t="s">
        <v>192</v>
      </c>
      <c r="F176" s="1" t="s">
        <v>192</v>
      </c>
      <c r="G176" s="1" t="s">
        <v>192</v>
      </c>
      <c r="H176" s="1" t="s">
        <v>192</v>
      </c>
      <c r="I176" s="1" t="s">
        <v>192</v>
      </c>
      <c r="J176" s="1" t="s">
        <v>192</v>
      </c>
      <c r="K176" s="1" t="s">
        <v>192</v>
      </c>
      <c r="L176" s="1" t="s">
        <v>192</v>
      </c>
      <c r="M176" s="1" t="s">
        <v>192</v>
      </c>
      <c r="N176" s="1" t="s">
        <v>192</v>
      </c>
      <c r="O176" s="1" t="s">
        <v>192</v>
      </c>
      <c r="P176" s="1" t="s">
        <v>192</v>
      </c>
      <c r="Q176" s="1" t="s">
        <v>192</v>
      </c>
      <c r="R176" s="1" t="s">
        <v>192</v>
      </c>
      <c r="S176" s="1" t="s">
        <v>192</v>
      </c>
      <c r="T176" s="1" t="s">
        <v>192</v>
      </c>
      <c r="U176" s="1" t="s">
        <v>192</v>
      </c>
      <c r="V176" s="1" t="s">
        <v>192</v>
      </c>
      <c r="W176" s="1" t="s">
        <v>192</v>
      </c>
      <c r="X176" s="1" t="s">
        <v>192</v>
      </c>
      <c r="Y176" s="1" t="s">
        <v>192</v>
      </c>
      <c r="Z176" s="1" t="s">
        <v>192</v>
      </c>
      <c r="AA176" s="1" t="s">
        <v>192</v>
      </c>
      <c r="AB176" s="1" t="s">
        <v>192</v>
      </c>
      <c r="AC176" s="1" t="s">
        <v>192</v>
      </c>
      <c r="AD176" s="1" t="s">
        <v>192</v>
      </c>
      <c r="AE176" s="1" t="s">
        <v>192</v>
      </c>
      <c r="AF176" s="1" t="s">
        <v>192</v>
      </c>
      <c r="AG176" s="1" t="s">
        <v>192</v>
      </c>
      <c r="AH176" s="1" t="s">
        <v>192</v>
      </c>
      <c r="AI176" s="1" t="s">
        <v>192</v>
      </c>
      <c r="AJ176" s="1" t="s">
        <v>192</v>
      </c>
      <c r="AK176" s="1" t="s">
        <v>192</v>
      </c>
      <c r="AL176" s="1" t="s">
        <v>192</v>
      </c>
      <c r="AM176" s="1" t="s">
        <v>192</v>
      </c>
      <c r="AN176" s="1" t="s">
        <v>192</v>
      </c>
      <c r="AO176" s="1" t="s">
        <v>192</v>
      </c>
      <c r="AP176" s="1" t="s">
        <v>192</v>
      </c>
      <c r="AQ176" s="1" t="s">
        <v>192</v>
      </c>
      <c r="AR176" s="1" t="s">
        <v>192</v>
      </c>
      <c r="AS176" s="1" t="s">
        <v>192</v>
      </c>
      <c r="AT176" s="1" t="s">
        <v>192</v>
      </c>
      <c r="AU176" s="1" t="s">
        <v>192</v>
      </c>
      <c r="AV176" s="1" t="s">
        <v>192</v>
      </c>
      <c r="AW176" s="1" t="s">
        <v>192</v>
      </c>
      <c r="AX176" s="1" t="s">
        <v>192</v>
      </c>
      <c r="AY176" s="1" t="s">
        <v>192</v>
      </c>
      <c r="AZ176" s="1" t="s">
        <v>192</v>
      </c>
      <c r="BA176" s="1" t="s">
        <v>192</v>
      </c>
      <c r="BB176" s="1" t="s">
        <v>192</v>
      </c>
      <c r="BC176" s="1" t="s">
        <v>192</v>
      </c>
      <c r="BD176" s="1" t="s">
        <v>192</v>
      </c>
      <c r="BE176" s="1" t="s">
        <v>192</v>
      </c>
      <c r="BF176" s="1" t="s">
        <v>192</v>
      </c>
      <c r="BG176" s="1" t="s">
        <v>192</v>
      </c>
      <c r="BH176" s="1" t="s">
        <v>192</v>
      </c>
      <c r="BI176" s="1" t="s">
        <v>192</v>
      </c>
      <c r="BJ176" s="1" t="s">
        <v>192</v>
      </c>
      <c r="BK176" s="1" t="s">
        <v>192</v>
      </c>
      <c r="BL176" s="1" t="s">
        <v>192</v>
      </c>
      <c r="BM176" s="1" t="s">
        <v>192</v>
      </c>
      <c r="BN176" s="1" t="s">
        <v>192</v>
      </c>
      <c r="BO176" s="1" t="s">
        <v>192</v>
      </c>
      <c r="BP176" s="1" t="s">
        <v>192</v>
      </c>
      <c r="BQ176" s="1" t="s">
        <v>192</v>
      </c>
      <c r="BR176" s="1" t="s">
        <v>192</v>
      </c>
      <c r="BS176" s="1" t="s">
        <v>192</v>
      </c>
      <c r="BT176" s="1" t="s">
        <v>192</v>
      </c>
      <c r="BU176" s="1" t="s">
        <v>192</v>
      </c>
      <c r="BV176" s="1" t="s">
        <v>192</v>
      </c>
      <c r="BW176" s="1" t="s">
        <v>192</v>
      </c>
      <c r="BX176" s="1" t="s">
        <v>192</v>
      </c>
      <c r="BY176" s="1" t="s">
        <v>192</v>
      </c>
      <c r="BZ176" s="1" t="s">
        <v>192</v>
      </c>
      <c r="CA176" s="1" t="s">
        <v>192</v>
      </c>
      <c r="CB176" s="1" t="s">
        <v>192</v>
      </c>
      <c r="CC176" s="1" t="s">
        <v>192</v>
      </c>
      <c r="CD176" s="1" t="s">
        <v>192</v>
      </c>
      <c r="CE176" s="1" t="s">
        <v>192</v>
      </c>
      <c r="CF176" s="1" t="s">
        <v>192</v>
      </c>
      <c r="CG176" s="1">
        <v>3</v>
      </c>
      <c r="CH176" s="1" t="s">
        <v>192</v>
      </c>
      <c r="CI176" s="1" t="s">
        <v>192</v>
      </c>
      <c r="CJ176" s="1" t="s">
        <v>192</v>
      </c>
      <c r="CK176" s="1" t="s">
        <v>192</v>
      </c>
      <c r="CL176" s="1" t="s">
        <v>192</v>
      </c>
      <c r="CM176" s="1" t="s">
        <v>192</v>
      </c>
      <c r="CN176" s="1" t="s">
        <v>192</v>
      </c>
      <c r="CO176" s="1" t="s">
        <v>192</v>
      </c>
      <c r="CP176" s="1" t="s">
        <v>192</v>
      </c>
      <c r="CQ176" s="1" t="s">
        <v>192</v>
      </c>
      <c r="CR176" s="1" t="s">
        <v>192</v>
      </c>
      <c r="CS176" s="1" t="s">
        <v>192</v>
      </c>
      <c r="CT176" s="1">
        <f>SUM(Table7[[#This Row],[Acyl_amino_acids]:[T3PKS]])</f>
        <v>3</v>
      </c>
      <c r="CU176" s="1" t="s">
        <v>192</v>
      </c>
      <c r="CW176" s="1" t="str">
        <f>Table7[[#This Row],[NRPS]]</f>
        <v>-</v>
      </c>
      <c r="CX176" s="1">
        <f>SUM(CP176,CR176,CS176,Table7[[#This Row],[T1PKS, T3PKS]])</f>
        <v>0</v>
      </c>
      <c r="CY176" s="1">
        <f t="shared" si="2"/>
        <v>0</v>
      </c>
      <c r="CZ176" s="1">
        <f>Table7[[#This Row],[Terpene]]</f>
        <v>3</v>
      </c>
      <c r="DA176" s="1">
        <f>SUM(Table7[[#This Row],[Thiopeptide]],BH176,BF176,BE176,BC176,AZ176,AX176,AW176,AJ176,AH176,N176,L176,J176,H176,I176,K176,R176,Q176,Table7[[#This Row],[Cyanobactin, LAP]])</f>
        <v>0</v>
      </c>
      <c r="DB176" s="1">
        <f>SUM(CO176,CN176,CL176,CK176,CJ176,CI176,CH176,CF176,CE176,CD176,CB176,CA176,BZ176,BY176,BX176,BW176,BV176,BT176,BR176,BQ176,BP176,BO176,BM176,BK176,BJ176,BI176,BG176,BD176,BB176,BA176,AY176,AV176,AU176,AT176,AS176,AR176,AQ176,AP176,AO176,AN176,AM176,AL176,AK176,AG176,AF176,AE176,AD176,AC176,AB176,AA176,Z176,Y176,X176,W176,V176,U176,T176,S176,P176,O176,M176,Table7[[#This Row],[Acyl_amino_acids]],E176,F176,G176,)</f>
        <v>0</v>
      </c>
    </row>
    <row r="177" spans="1:106" x14ac:dyDescent="0.25">
      <c r="A177" s="9" t="s">
        <v>704</v>
      </c>
      <c r="B177" s="1" t="s">
        <v>435</v>
      </c>
      <c r="C177" s="1" t="s">
        <v>407</v>
      </c>
      <c r="D177" s="1" t="s">
        <v>192</v>
      </c>
      <c r="E177" s="1" t="s">
        <v>192</v>
      </c>
      <c r="F177" s="1" t="s">
        <v>192</v>
      </c>
      <c r="G177" s="1" t="s">
        <v>192</v>
      </c>
      <c r="H177" s="1" t="s">
        <v>192</v>
      </c>
      <c r="I177" s="1" t="s">
        <v>192</v>
      </c>
      <c r="J177" s="1" t="s">
        <v>192</v>
      </c>
      <c r="K177" s="1" t="s">
        <v>192</v>
      </c>
      <c r="L177" s="1" t="s">
        <v>192</v>
      </c>
      <c r="M177" s="1" t="s">
        <v>192</v>
      </c>
      <c r="N177" s="1" t="s">
        <v>192</v>
      </c>
      <c r="O177" s="1" t="s">
        <v>192</v>
      </c>
      <c r="P177" s="1" t="s">
        <v>192</v>
      </c>
      <c r="Q177" s="1" t="s">
        <v>192</v>
      </c>
      <c r="R177" s="1" t="s">
        <v>192</v>
      </c>
      <c r="S177" s="1" t="s">
        <v>192</v>
      </c>
      <c r="T177" s="1" t="s">
        <v>192</v>
      </c>
      <c r="U177" s="1" t="s">
        <v>192</v>
      </c>
      <c r="V177" s="1" t="s">
        <v>192</v>
      </c>
      <c r="W177" s="1" t="s">
        <v>192</v>
      </c>
      <c r="X177" s="1" t="s">
        <v>192</v>
      </c>
      <c r="Y177" s="1" t="s">
        <v>192</v>
      </c>
      <c r="Z177" s="1" t="s">
        <v>192</v>
      </c>
      <c r="AA177" s="1" t="s">
        <v>192</v>
      </c>
      <c r="AB177" s="1" t="s">
        <v>192</v>
      </c>
      <c r="AC177" s="1" t="s">
        <v>192</v>
      </c>
      <c r="AD177" s="1" t="s">
        <v>192</v>
      </c>
      <c r="AE177" s="1" t="s">
        <v>192</v>
      </c>
      <c r="AF177" s="1" t="s">
        <v>192</v>
      </c>
      <c r="AG177" s="1" t="s">
        <v>192</v>
      </c>
      <c r="AH177" s="1" t="s">
        <v>192</v>
      </c>
      <c r="AI177" s="1" t="s">
        <v>192</v>
      </c>
      <c r="AJ177" s="1" t="s">
        <v>192</v>
      </c>
      <c r="AK177" s="1" t="s">
        <v>192</v>
      </c>
      <c r="AL177" s="1" t="s">
        <v>192</v>
      </c>
      <c r="AM177" s="1" t="s">
        <v>192</v>
      </c>
      <c r="AN177" s="1" t="s">
        <v>192</v>
      </c>
      <c r="AO177" s="1" t="s">
        <v>192</v>
      </c>
      <c r="AP177" s="1" t="s">
        <v>192</v>
      </c>
      <c r="AQ177" s="1" t="s">
        <v>192</v>
      </c>
      <c r="AR177" s="1" t="s">
        <v>192</v>
      </c>
      <c r="AS177" s="1" t="s">
        <v>192</v>
      </c>
      <c r="AT177" s="1" t="s">
        <v>192</v>
      </c>
      <c r="AU177" s="1" t="s">
        <v>192</v>
      </c>
      <c r="AV177" s="1" t="s">
        <v>192</v>
      </c>
      <c r="AW177" s="1" t="s">
        <v>192</v>
      </c>
      <c r="AX177" s="1" t="s">
        <v>192</v>
      </c>
      <c r="AY177" s="1" t="s">
        <v>192</v>
      </c>
      <c r="AZ177" s="1" t="s">
        <v>192</v>
      </c>
      <c r="BA177" s="1" t="s">
        <v>192</v>
      </c>
      <c r="BB177" s="1" t="s">
        <v>192</v>
      </c>
      <c r="BC177" s="1" t="s">
        <v>192</v>
      </c>
      <c r="BD177" s="1" t="s">
        <v>192</v>
      </c>
      <c r="BE177" s="1" t="s">
        <v>192</v>
      </c>
      <c r="BF177" s="1" t="s">
        <v>192</v>
      </c>
      <c r="BG177" s="1" t="s">
        <v>192</v>
      </c>
      <c r="BH177" s="1" t="s">
        <v>192</v>
      </c>
      <c r="BI177" s="1" t="s">
        <v>192</v>
      </c>
      <c r="BJ177" s="1" t="s">
        <v>192</v>
      </c>
      <c r="BK177" s="1" t="s">
        <v>192</v>
      </c>
      <c r="BL177" s="1" t="s">
        <v>192</v>
      </c>
      <c r="BM177" s="1" t="s">
        <v>192</v>
      </c>
      <c r="BN177" s="1" t="s">
        <v>192</v>
      </c>
      <c r="BO177" s="1" t="s">
        <v>192</v>
      </c>
      <c r="BP177" s="1" t="s">
        <v>192</v>
      </c>
      <c r="BQ177" s="1" t="s">
        <v>192</v>
      </c>
      <c r="BR177" s="1" t="s">
        <v>192</v>
      </c>
      <c r="BS177" s="1" t="s">
        <v>192</v>
      </c>
      <c r="BT177" s="1" t="s">
        <v>192</v>
      </c>
      <c r="BU177" s="1" t="s">
        <v>192</v>
      </c>
      <c r="BV177" s="1" t="s">
        <v>192</v>
      </c>
      <c r="BW177" s="1" t="s">
        <v>192</v>
      </c>
      <c r="BX177" s="1" t="s">
        <v>192</v>
      </c>
      <c r="BY177" s="1" t="s">
        <v>192</v>
      </c>
      <c r="BZ177" s="1" t="s">
        <v>192</v>
      </c>
      <c r="CA177" s="1" t="s">
        <v>192</v>
      </c>
      <c r="CB177" s="1" t="s">
        <v>192</v>
      </c>
      <c r="CC177" s="1" t="s">
        <v>192</v>
      </c>
      <c r="CD177" s="1" t="s">
        <v>192</v>
      </c>
      <c r="CE177" s="1" t="s">
        <v>192</v>
      </c>
      <c r="CF177" s="1" t="s">
        <v>192</v>
      </c>
      <c r="CG177" s="1">
        <v>3</v>
      </c>
      <c r="CH177" s="1" t="s">
        <v>192</v>
      </c>
      <c r="CI177" s="1" t="s">
        <v>192</v>
      </c>
      <c r="CJ177" s="1" t="s">
        <v>192</v>
      </c>
      <c r="CK177" s="1" t="s">
        <v>192</v>
      </c>
      <c r="CL177" s="1" t="s">
        <v>192</v>
      </c>
      <c r="CM177" s="1" t="s">
        <v>192</v>
      </c>
      <c r="CN177" s="1" t="s">
        <v>192</v>
      </c>
      <c r="CO177" s="1" t="s">
        <v>192</v>
      </c>
      <c r="CP177" s="1" t="s">
        <v>192</v>
      </c>
      <c r="CQ177" s="1" t="s">
        <v>192</v>
      </c>
      <c r="CR177" s="1" t="s">
        <v>192</v>
      </c>
      <c r="CS177" s="1" t="s">
        <v>192</v>
      </c>
      <c r="CT177" s="1">
        <f>SUM(Table7[[#This Row],[Acyl_amino_acids]:[T3PKS]])</f>
        <v>3</v>
      </c>
      <c r="CU177" s="1" t="s">
        <v>192</v>
      </c>
      <c r="CW177" s="1" t="str">
        <f>Table7[[#This Row],[NRPS]]</f>
        <v>-</v>
      </c>
      <c r="CX177" s="1">
        <f>SUM(CP177,CR177,CS177,Table7[[#This Row],[T1PKS, T3PKS]])</f>
        <v>0</v>
      </c>
      <c r="CY177" s="1">
        <f t="shared" si="2"/>
        <v>0</v>
      </c>
      <c r="CZ177" s="1">
        <f>Table7[[#This Row],[Terpene]]</f>
        <v>3</v>
      </c>
      <c r="DA177" s="1">
        <f>SUM(Table7[[#This Row],[Thiopeptide]],BH177,BF177,BE177,BC177,AZ177,AX177,AW177,AJ177,AH177,N177,L177,J177,H177,I177,K177,R177,Q177,Table7[[#This Row],[Cyanobactin, LAP]])</f>
        <v>0</v>
      </c>
      <c r="DB177" s="1">
        <f>SUM(CO177,CN177,CL177,CK177,CJ177,CI177,CH177,CF177,CE177,CD177,CB177,CA177,BZ177,BY177,BX177,BW177,BV177,BT177,BR177,BQ177,BP177,BO177,BM177,BK177,BJ177,BI177,BG177,BD177,BB177,BA177,AY177,AV177,AU177,AT177,AS177,AR177,AQ177,AP177,AO177,AN177,AM177,AL177,AK177,AG177,AF177,AE177,AD177,AC177,AB177,AA177,Z177,Y177,X177,W177,V177,U177,T177,S177,P177,O177,M177,Table7[[#This Row],[Acyl_amino_acids]],E177,F177,G177,)</f>
        <v>0</v>
      </c>
    </row>
    <row r="178" spans="1:106" x14ac:dyDescent="0.25">
      <c r="A178" s="9" t="s">
        <v>703</v>
      </c>
      <c r="B178" s="1" t="s">
        <v>435</v>
      </c>
      <c r="C178" s="1" t="s">
        <v>408</v>
      </c>
      <c r="D178" s="1" t="s">
        <v>192</v>
      </c>
      <c r="E178" s="1" t="s">
        <v>192</v>
      </c>
      <c r="F178" s="1" t="s">
        <v>192</v>
      </c>
      <c r="G178" s="1" t="s">
        <v>192</v>
      </c>
      <c r="H178" s="1" t="s">
        <v>192</v>
      </c>
      <c r="I178" s="1" t="s">
        <v>192</v>
      </c>
      <c r="J178" s="1" t="s">
        <v>192</v>
      </c>
      <c r="K178" s="1" t="s">
        <v>192</v>
      </c>
      <c r="L178" s="1" t="s">
        <v>192</v>
      </c>
      <c r="M178" s="1" t="s">
        <v>192</v>
      </c>
      <c r="N178" s="1" t="s">
        <v>192</v>
      </c>
      <c r="O178" s="1" t="s">
        <v>192</v>
      </c>
      <c r="P178" s="1" t="s">
        <v>192</v>
      </c>
      <c r="Q178" s="1" t="s">
        <v>192</v>
      </c>
      <c r="R178" s="1" t="s">
        <v>192</v>
      </c>
      <c r="S178" s="1" t="s">
        <v>192</v>
      </c>
      <c r="T178" s="1" t="s">
        <v>192</v>
      </c>
      <c r="U178" s="1" t="s">
        <v>192</v>
      </c>
      <c r="V178" s="1" t="s">
        <v>192</v>
      </c>
      <c r="W178" s="1" t="s">
        <v>192</v>
      </c>
      <c r="X178" s="1" t="s">
        <v>192</v>
      </c>
      <c r="Y178" s="1" t="s">
        <v>192</v>
      </c>
      <c r="Z178" s="1" t="s">
        <v>192</v>
      </c>
      <c r="AA178" s="1" t="s">
        <v>192</v>
      </c>
      <c r="AB178" s="1" t="s">
        <v>192</v>
      </c>
      <c r="AC178" s="1" t="s">
        <v>192</v>
      </c>
      <c r="AD178" s="1" t="s">
        <v>192</v>
      </c>
      <c r="AE178" s="1" t="s">
        <v>192</v>
      </c>
      <c r="AF178" s="1" t="s">
        <v>192</v>
      </c>
      <c r="AG178" s="1" t="s">
        <v>192</v>
      </c>
      <c r="AH178" s="1" t="s">
        <v>192</v>
      </c>
      <c r="AI178" s="1" t="s">
        <v>192</v>
      </c>
      <c r="AJ178" s="1" t="s">
        <v>192</v>
      </c>
      <c r="AK178" s="1" t="s">
        <v>192</v>
      </c>
      <c r="AL178" s="1" t="s">
        <v>192</v>
      </c>
      <c r="AM178" s="1" t="s">
        <v>192</v>
      </c>
      <c r="AN178" s="1" t="s">
        <v>192</v>
      </c>
      <c r="AO178" s="1" t="s">
        <v>192</v>
      </c>
      <c r="AP178" s="1" t="s">
        <v>192</v>
      </c>
      <c r="AQ178" s="1" t="s">
        <v>192</v>
      </c>
      <c r="AR178" s="1" t="s">
        <v>192</v>
      </c>
      <c r="AS178" s="1" t="s">
        <v>192</v>
      </c>
      <c r="AT178" s="1" t="s">
        <v>192</v>
      </c>
      <c r="AU178" s="1" t="s">
        <v>192</v>
      </c>
      <c r="AV178" s="1" t="s">
        <v>192</v>
      </c>
      <c r="AW178" s="1" t="s">
        <v>192</v>
      </c>
      <c r="AX178" s="1" t="s">
        <v>192</v>
      </c>
      <c r="AY178" s="1" t="s">
        <v>192</v>
      </c>
      <c r="AZ178" s="1" t="s">
        <v>192</v>
      </c>
      <c r="BA178" s="1" t="s">
        <v>192</v>
      </c>
      <c r="BB178" s="1" t="s">
        <v>192</v>
      </c>
      <c r="BC178" s="1" t="s">
        <v>192</v>
      </c>
      <c r="BD178" s="1" t="s">
        <v>192</v>
      </c>
      <c r="BE178" s="1" t="s">
        <v>192</v>
      </c>
      <c r="BF178" s="1" t="s">
        <v>192</v>
      </c>
      <c r="BG178" s="1" t="s">
        <v>192</v>
      </c>
      <c r="BH178" s="1" t="s">
        <v>192</v>
      </c>
      <c r="BI178" s="1" t="s">
        <v>192</v>
      </c>
      <c r="BJ178" s="1" t="s">
        <v>192</v>
      </c>
      <c r="BK178" s="1" t="s">
        <v>192</v>
      </c>
      <c r="BL178" s="1" t="s">
        <v>192</v>
      </c>
      <c r="BM178" s="1" t="s">
        <v>192</v>
      </c>
      <c r="BN178" s="1" t="s">
        <v>192</v>
      </c>
      <c r="BO178" s="1" t="s">
        <v>192</v>
      </c>
      <c r="BP178" s="1" t="s">
        <v>192</v>
      </c>
      <c r="BQ178" s="1" t="s">
        <v>192</v>
      </c>
      <c r="BR178" s="1" t="s">
        <v>192</v>
      </c>
      <c r="BS178" s="1" t="s">
        <v>192</v>
      </c>
      <c r="BT178" s="1" t="s">
        <v>192</v>
      </c>
      <c r="BU178" s="1" t="s">
        <v>192</v>
      </c>
      <c r="BV178" s="1" t="s">
        <v>192</v>
      </c>
      <c r="BW178" s="1" t="s">
        <v>192</v>
      </c>
      <c r="BX178" s="1" t="s">
        <v>192</v>
      </c>
      <c r="BY178" s="1" t="s">
        <v>192</v>
      </c>
      <c r="BZ178" s="1" t="s">
        <v>192</v>
      </c>
      <c r="CA178" s="1" t="s">
        <v>192</v>
      </c>
      <c r="CB178" s="1" t="s">
        <v>192</v>
      </c>
      <c r="CC178" s="1" t="s">
        <v>192</v>
      </c>
      <c r="CD178" s="1" t="s">
        <v>192</v>
      </c>
      <c r="CE178" s="1" t="s">
        <v>192</v>
      </c>
      <c r="CF178" s="1" t="s">
        <v>192</v>
      </c>
      <c r="CG178" s="1">
        <v>3</v>
      </c>
      <c r="CH178" s="1" t="s">
        <v>192</v>
      </c>
      <c r="CI178" s="1" t="s">
        <v>192</v>
      </c>
      <c r="CJ178" s="1" t="s">
        <v>192</v>
      </c>
      <c r="CK178" s="1" t="s">
        <v>192</v>
      </c>
      <c r="CL178" s="1" t="s">
        <v>192</v>
      </c>
      <c r="CM178" s="1" t="s">
        <v>192</v>
      </c>
      <c r="CN178" s="1" t="s">
        <v>192</v>
      </c>
      <c r="CO178" s="1" t="s">
        <v>192</v>
      </c>
      <c r="CP178" s="1" t="s">
        <v>192</v>
      </c>
      <c r="CQ178" s="1" t="s">
        <v>192</v>
      </c>
      <c r="CR178" s="1" t="s">
        <v>192</v>
      </c>
      <c r="CS178" s="1" t="s">
        <v>192</v>
      </c>
      <c r="CT178" s="1">
        <f>SUM(Table7[[#This Row],[Acyl_amino_acids]:[T3PKS]])</f>
        <v>3</v>
      </c>
      <c r="CU178" s="1" t="s">
        <v>192</v>
      </c>
      <c r="CW178" s="1" t="str">
        <f>Table7[[#This Row],[NRPS]]</f>
        <v>-</v>
      </c>
      <c r="CX178" s="1">
        <f>SUM(CP178,CR178,CS178,Table7[[#This Row],[T1PKS, T3PKS]])</f>
        <v>0</v>
      </c>
      <c r="CY178" s="1">
        <f t="shared" si="2"/>
        <v>0</v>
      </c>
      <c r="CZ178" s="1">
        <f>Table7[[#This Row],[Terpene]]</f>
        <v>3</v>
      </c>
      <c r="DA178" s="1">
        <f>SUM(Table7[[#This Row],[Thiopeptide]],BH178,BF178,BE178,BC178,AZ178,AX178,AW178,AJ178,AH178,N178,L178,J178,H178,I178,K178,R178,Q178,Table7[[#This Row],[Cyanobactin, LAP]])</f>
        <v>0</v>
      </c>
      <c r="DB178" s="1">
        <f>SUM(CO178,CN178,CL178,CK178,CJ178,CI178,CH178,CF178,CE178,CD178,CB178,CA178,BZ178,BY178,BX178,BW178,BV178,BT178,BR178,BQ178,BP178,BO178,BM178,BK178,BJ178,BI178,BG178,BD178,BB178,BA178,AY178,AV178,AU178,AT178,AS178,AR178,AQ178,AP178,AO178,AN178,AM178,AL178,AK178,AG178,AF178,AE178,AD178,AC178,AB178,AA178,Z178,Y178,X178,W178,V178,U178,T178,S178,P178,O178,M178,Table7[[#This Row],[Acyl_amino_acids]],E178,F178,G178,)</f>
        <v>0</v>
      </c>
    </row>
    <row r="179" spans="1:106" x14ac:dyDescent="0.25">
      <c r="A179" s="9" t="s">
        <v>705</v>
      </c>
      <c r="B179" s="1" t="s">
        <v>435</v>
      </c>
      <c r="C179" s="1" t="s">
        <v>409</v>
      </c>
      <c r="D179" s="1" t="s">
        <v>192</v>
      </c>
      <c r="E179" s="1" t="s">
        <v>192</v>
      </c>
      <c r="F179" s="1" t="s">
        <v>192</v>
      </c>
      <c r="G179" s="1" t="s">
        <v>192</v>
      </c>
      <c r="H179" s="1" t="s">
        <v>192</v>
      </c>
      <c r="I179" s="1" t="s">
        <v>192</v>
      </c>
      <c r="J179" s="1" t="s">
        <v>192</v>
      </c>
      <c r="K179" s="1" t="s">
        <v>192</v>
      </c>
      <c r="L179" s="1" t="s">
        <v>192</v>
      </c>
      <c r="M179" s="1" t="s">
        <v>192</v>
      </c>
      <c r="N179" s="1" t="s">
        <v>192</v>
      </c>
      <c r="O179" s="1" t="s">
        <v>192</v>
      </c>
      <c r="P179" s="1" t="s">
        <v>192</v>
      </c>
      <c r="Q179" s="1" t="s">
        <v>192</v>
      </c>
      <c r="R179" s="1" t="s">
        <v>192</v>
      </c>
      <c r="S179" s="1" t="s">
        <v>192</v>
      </c>
      <c r="T179" s="1" t="s">
        <v>192</v>
      </c>
      <c r="U179" s="1" t="s">
        <v>192</v>
      </c>
      <c r="V179" s="1" t="s">
        <v>192</v>
      </c>
      <c r="W179" s="1" t="s">
        <v>192</v>
      </c>
      <c r="X179" s="1" t="s">
        <v>192</v>
      </c>
      <c r="Y179" s="1" t="s">
        <v>192</v>
      </c>
      <c r="Z179" s="1" t="s">
        <v>192</v>
      </c>
      <c r="AA179" s="1" t="s">
        <v>192</v>
      </c>
      <c r="AB179" s="1" t="s">
        <v>192</v>
      </c>
      <c r="AC179" s="1" t="s">
        <v>192</v>
      </c>
      <c r="AD179" s="1" t="s">
        <v>192</v>
      </c>
      <c r="AE179" s="1" t="s">
        <v>192</v>
      </c>
      <c r="AF179" s="1" t="s">
        <v>192</v>
      </c>
      <c r="AG179" s="1" t="s">
        <v>192</v>
      </c>
      <c r="AH179" s="1" t="s">
        <v>192</v>
      </c>
      <c r="AI179" s="1" t="s">
        <v>192</v>
      </c>
      <c r="AJ179" s="1" t="s">
        <v>192</v>
      </c>
      <c r="AK179" s="1" t="s">
        <v>192</v>
      </c>
      <c r="AL179" s="1" t="s">
        <v>192</v>
      </c>
      <c r="AM179" s="1" t="s">
        <v>192</v>
      </c>
      <c r="AN179" s="1" t="s">
        <v>192</v>
      </c>
      <c r="AO179" s="1" t="s">
        <v>192</v>
      </c>
      <c r="AP179" s="1" t="s">
        <v>192</v>
      </c>
      <c r="AQ179" s="1" t="s">
        <v>192</v>
      </c>
      <c r="AR179" s="1" t="s">
        <v>192</v>
      </c>
      <c r="AS179" s="1" t="s">
        <v>192</v>
      </c>
      <c r="AT179" s="1" t="s">
        <v>192</v>
      </c>
      <c r="AU179" s="1" t="s">
        <v>192</v>
      </c>
      <c r="AV179" s="1" t="s">
        <v>192</v>
      </c>
      <c r="AW179" s="1" t="s">
        <v>192</v>
      </c>
      <c r="AX179" s="1" t="s">
        <v>192</v>
      </c>
      <c r="AY179" s="1" t="s">
        <v>192</v>
      </c>
      <c r="AZ179" s="1" t="s">
        <v>192</v>
      </c>
      <c r="BA179" s="1" t="s">
        <v>192</v>
      </c>
      <c r="BB179" s="1" t="s">
        <v>192</v>
      </c>
      <c r="BC179" s="1" t="s">
        <v>192</v>
      </c>
      <c r="BD179" s="1" t="s">
        <v>192</v>
      </c>
      <c r="BE179" s="1" t="s">
        <v>192</v>
      </c>
      <c r="BF179" s="1" t="s">
        <v>192</v>
      </c>
      <c r="BG179" s="1" t="s">
        <v>192</v>
      </c>
      <c r="BH179" s="1" t="s">
        <v>192</v>
      </c>
      <c r="BI179" s="1" t="s">
        <v>192</v>
      </c>
      <c r="BJ179" s="1" t="s">
        <v>192</v>
      </c>
      <c r="BK179" s="1" t="s">
        <v>192</v>
      </c>
      <c r="BL179" s="1" t="s">
        <v>192</v>
      </c>
      <c r="BM179" s="1" t="s">
        <v>192</v>
      </c>
      <c r="BN179" s="1" t="s">
        <v>192</v>
      </c>
      <c r="BO179" s="1" t="s">
        <v>192</v>
      </c>
      <c r="BP179" s="1" t="s">
        <v>192</v>
      </c>
      <c r="BQ179" s="1" t="s">
        <v>192</v>
      </c>
      <c r="BR179" s="1" t="s">
        <v>192</v>
      </c>
      <c r="BS179" s="1" t="s">
        <v>192</v>
      </c>
      <c r="BT179" s="1" t="s">
        <v>192</v>
      </c>
      <c r="BU179" s="1" t="s">
        <v>192</v>
      </c>
      <c r="BV179" s="1" t="s">
        <v>192</v>
      </c>
      <c r="BW179" s="1" t="s">
        <v>192</v>
      </c>
      <c r="BX179" s="1" t="s">
        <v>192</v>
      </c>
      <c r="BY179" s="1" t="s">
        <v>192</v>
      </c>
      <c r="BZ179" s="1" t="s">
        <v>192</v>
      </c>
      <c r="CA179" s="1" t="s">
        <v>192</v>
      </c>
      <c r="CB179" s="1" t="s">
        <v>192</v>
      </c>
      <c r="CC179" s="1" t="s">
        <v>192</v>
      </c>
      <c r="CD179" s="1" t="s">
        <v>192</v>
      </c>
      <c r="CE179" s="1" t="s">
        <v>192</v>
      </c>
      <c r="CF179" s="1" t="s">
        <v>192</v>
      </c>
      <c r="CG179" s="1">
        <v>3</v>
      </c>
      <c r="CH179" s="1" t="s">
        <v>192</v>
      </c>
      <c r="CI179" s="1" t="s">
        <v>192</v>
      </c>
      <c r="CJ179" s="1" t="s">
        <v>192</v>
      </c>
      <c r="CK179" s="1" t="s">
        <v>192</v>
      </c>
      <c r="CL179" s="1" t="s">
        <v>192</v>
      </c>
      <c r="CM179" s="1" t="s">
        <v>192</v>
      </c>
      <c r="CN179" s="1" t="s">
        <v>192</v>
      </c>
      <c r="CO179" s="1" t="s">
        <v>192</v>
      </c>
      <c r="CP179" s="1" t="s">
        <v>192</v>
      </c>
      <c r="CQ179" s="1" t="s">
        <v>192</v>
      </c>
      <c r="CR179" s="1" t="s">
        <v>192</v>
      </c>
      <c r="CS179" s="1" t="s">
        <v>192</v>
      </c>
      <c r="CT179" s="1">
        <f>SUM(Table7[[#This Row],[Acyl_amino_acids]:[T3PKS]])</f>
        <v>3</v>
      </c>
      <c r="CU179" s="1" t="s">
        <v>192</v>
      </c>
      <c r="CW179" s="1" t="str">
        <f>Table7[[#This Row],[NRPS]]</f>
        <v>-</v>
      </c>
      <c r="CX179" s="1">
        <f>SUM(CP179,CR179,CS179,Table7[[#This Row],[T1PKS, T3PKS]])</f>
        <v>0</v>
      </c>
      <c r="CY179" s="1">
        <f t="shared" si="2"/>
        <v>0</v>
      </c>
      <c r="CZ179" s="1">
        <f>Table7[[#This Row],[Terpene]]</f>
        <v>3</v>
      </c>
      <c r="DA179" s="1">
        <f>SUM(Table7[[#This Row],[Thiopeptide]],BH179,BF179,BE179,BC179,AZ179,AX179,AW179,AJ179,AH179,N179,L179,J179,H179,I179,K179,R179,Q179,Table7[[#This Row],[Cyanobactin, LAP]])</f>
        <v>0</v>
      </c>
      <c r="DB179" s="1">
        <f>SUM(CO179,CN179,CL179,CK179,CJ179,CI179,CH179,CF179,CE179,CD179,CB179,CA179,BZ179,BY179,BX179,BW179,BV179,BT179,BR179,BQ179,BP179,BO179,BM179,BK179,BJ179,BI179,BG179,BD179,BB179,BA179,AY179,AV179,AU179,AT179,AS179,AR179,AQ179,AP179,AO179,AN179,AM179,AL179,AK179,AG179,AF179,AE179,AD179,AC179,AB179,AA179,Z179,Y179,X179,W179,V179,U179,T179,S179,P179,O179,M179,Table7[[#This Row],[Acyl_amino_acids]],E179,F179,G179,)</f>
        <v>0</v>
      </c>
    </row>
    <row r="180" spans="1:106" x14ac:dyDescent="0.25">
      <c r="A180" s="9" t="s">
        <v>669</v>
      </c>
      <c r="B180" s="1" t="s">
        <v>435</v>
      </c>
      <c r="C180" s="1" t="s">
        <v>410</v>
      </c>
      <c r="D180" s="1" t="s">
        <v>192</v>
      </c>
      <c r="E180" s="1" t="s">
        <v>192</v>
      </c>
      <c r="F180" s="1" t="s">
        <v>192</v>
      </c>
      <c r="G180" s="1" t="s">
        <v>192</v>
      </c>
      <c r="H180" s="1" t="s">
        <v>192</v>
      </c>
      <c r="I180" s="1" t="s">
        <v>192</v>
      </c>
      <c r="J180" s="1" t="s">
        <v>192</v>
      </c>
      <c r="K180" s="1" t="s">
        <v>192</v>
      </c>
      <c r="L180" s="1" t="s">
        <v>192</v>
      </c>
      <c r="M180" s="1" t="s">
        <v>192</v>
      </c>
      <c r="N180" s="1" t="s">
        <v>192</v>
      </c>
      <c r="O180" s="1" t="s">
        <v>192</v>
      </c>
      <c r="P180" s="1" t="s">
        <v>192</v>
      </c>
      <c r="Q180" s="1" t="s">
        <v>192</v>
      </c>
      <c r="R180" s="1" t="s">
        <v>192</v>
      </c>
      <c r="S180" s="1" t="s">
        <v>192</v>
      </c>
      <c r="T180" s="1" t="s">
        <v>192</v>
      </c>
      <c r="U180" s="1" t="s">
        <v>192</v>
      </c>
      <c r="V180" s="1" t="s">
        <v>192</v>
      </c>
      <c r="W180" s="1" t="s">
        <v>192</v>
      </c>
      <c r="X180" s="1" t="s">
        <v>192</v>
      </c>
      <c r="Y180" s="1" t="s">
        <v>192</v>
      </c>
      <c r="Z180" s="1" t="s">
        <v>192</v>
      </c>
      <c r="AA180" s="1" t="s">
        <v>192</v>
      </c>
      <c r="AB180" s="1" t="s">
        <v>192</v>
      </c>
      <c r="AC180" s="1" t="s">
        <v>192</v>
      </c>
      <c r="AD180" s="1" t="s">
        <v>192</v>
      </c>
      <c r="AE180" s="1" t="s">
        <v>192</v>
      </c>
      <c r="AF180" s="1" t="s">
        <v>192</v>
      </c>
      <c r="AG180" s="1" t="s">
        <v>192</v>
      </c>
      <c r="AH180" s="1" t="s">
        <v>192</v>
      </c>
      <c r="AI180" s="1" t="s">
        <v>192</v>
      </c>
      <c r="AJ180" s="1" t="s">
        <v>192</v>
      </c>
      <c r="AK180" s="1" t="s">
        <v>192</v>
      </c>
      <c r="AL180" s="1" t="s">
        <v>192</v>
      </c>
      <c r="AM180" s="1" t="s">
        <v>192</v>
      </c>
      <c r="AN180" s="1" t="s">
        <v>192</v>
      </c>
      <c r="AO180" s="1" t="s">
        <v>192</v>
      </c>
      <c r="AP180" s="1" t="s">
        <v>192</v>
      </c>
      <c r="AQ180" s="1" t="s">
        <v>192</v>
      </c>
      <c r="AR180" s="1" t="s">
        <v>192</v>
      </c>
      <c r="AS180" s="1" t="s">
        <v>192</v>
      </c>
      <c r="AT180" s="1" t="s">
        <v>192</v>
      </c>
      <c r="AU180" s="1" t="s">
        <v>192</v>
      </c>
      <c r="AV180" s="1" t="s">
        <v>192</v>
      </c>
      <c r="AW180" s="1" t="s">
        <v>192</v>
      </c>
      <c r="AX180" s="1" t="s">
        <v>192</v>
      </c>
      <c r="AY180" s="1" t="s">
        <v>192</v>
      </c>
      <c r="AZ180" s="1" t="s">
        <v>192</v>
      </c>
      <c r="BA180" s="1" t="s">
        <v>192</v>
      </c>
      <c r="BB180" s="1" t="s">
        <v>192</v>
      </c>
      <c r="BC180" s="1" t="s">
        <v>192</v>
      </c>
      <c r="BD180" s="1" t="s">
        <v>192</v>
      </c>
      <c r="BE180" s="1" t="s">
        <v>192</v>
      </c>
      <c r="BF180" s="1" t="s">
        <v>192</v>
      </c>
      <c r="BG180" s="1" t="s">
        <v>192</v>
      </c>
      <c r="BH180" s="1" t="s">
        <v>192</v>
      </c>
      <c r="BI180" s="1" t="s">
        <v>192</v>
      </c>
      <c r="BJ180" s="1" t="s">
        <v>192</v>
      </c>
      <c r="BK180" s="1" t="s">
        <v>192</v>
      </c>
      <c r="BL180" s="1" t="s">
        <v>192</v>
      </c>
      <c r="BM180" s="1" t="s">
        <v>192</v>
      </c>
      <c r="BN180" s="1" t="s">
        <v>192</v>
      </c>
      <c r="BO180" s="1" t="s">
        <v>192</v>
      </c>
      <c r="BP180" s="1" t="s">
        <v>192</v>
      </c>
      <c r="BQ180" s="1" t="s">
        <v>192</v>
      </c>
      <c r="BR180" s="1" t="s">
        <v>192</v>
      </c>
      <c r="BS180" s="1" t="s">
        <v>192</v>
      </c>
      <c r="BT180" s="1" t="s">
        <v>192</v>
      </c>
      <c r="BU180" s="1" t="s">
        <v>192</v>
      </c>
      <c r="BV180" s="1" t="s">
        <v>192</v>
      </c>
      <c r="BW180" s="1" t="s">
        <v>192</v>
      </c>
      <c r="BX180" s="1" t="s">
        <v>192</v>
      </c>
      <c r="BY180" s="1" t="s">
        <v>192</v>
      </c>
      <c r="BZ180" s="1" t="s">
        <v>192</v>
      </c>
      <c r="CA180" s="1" t="s">
        <v>192</v>
      </c>
      <c r="CB180" s="1" t="s">
        <v>192</v>
      </c>
      <c r="CC180" s="1" t="s">
        <v>192</v>
      </c>
      <c r="CD180" s="1" t="s">
        <v>192</v>
      </c>
      <c r="CE180" s="1" t="s">
        <v>192</v>
      </c>
      <c r="CF180" s="1" t="s">
        <v>192</v>
      </c>
      <c r="CG180" s="1">
        <v>3</v>
      </c>
      <c r="CH180" s="1" t="s">
        <v>192</v>
      </c>
      <c r="CI180" s="1" t="s">
        <v>192</v>
      </c>
      <c r="CJ180" s="1" t="s">
        <v>192</v>
      </c>
      <c r="CK180" s="1" t="s">
        <v>192</v>
      </c>
      <c r="CL180" s="1" t="s">
        <v>192</v>
      </c>
      <c r="CM180" s="1" t="s">
        <v>192</v>
      </c>
      <c r="CN180" s="1" t="s">
        <v>192</v>
      </c>
      <c r="CO180" s="1" t="s">
        <v>192</v>
      </c>
      <c r="CP180" s="1" t="s">
        <v>192</v>
      </c>
      <c r="CQ180" s="1" t="s">
        <v>192</v>
      </c>
      <c r="CR180" s="1" t="s">
        <v>192</v>
      </c>
      <c r="CS180" s="1" t="s">
        <v>192</v>
      </c>
      <c r="CT180" s="1">
        <f>SUM(Table7[[#This Row],[Acyl_amino_acids]:[T3PKS]])</f>
        <v>3</v>
      </c>
      <c r="CU180" s="1" t="s">
        <v>192</v>
      </c>
      <c r="CW180" s="1" t="str">
        <f>Table7[[#This Row],[NRPS]]</f>
        <v>-</v>
      </c>
      <c r="CX180" s="1">
        <f>SUM(CP180,CR180,CS180,Table7[[#This Row],[T1PKS, T3PKS]])</f>
        <v>0</v>
      </c>
      <c r="CY180" s="1">
        <f t="shared" si="2"/>
        <v>0</v>
      </c>
      <c r="CZ180" s="1">
        <f>Table7[[#This Row],[Terpene]]</f>
        <v>3</v>
      </c>
      <c r="DA180" s="1">
        <f>SUM(Table7[[#This Row],[Thiopeptide]],BH180,BF180,BE180,BC180,AZ180,AX180,AW180,AJ180,AH180,N180,L180,J180,H180,I180,K180,R180,Q180,Table7[[#This Row],[Cyanobactin, LAP]])</f>
        <v>0</v>
      </c>
      <c r="DB180" s="1">
        <f>SUM(CO180,CN180,CL180,CK180,CJ180,CI180,CH180,CF180,CE180,CD180,CB180,CA180,BZ180,BY180,BX180,BW180,BV180,BT180,BR180,BQ180,BP180,BO180,BM180,BK180,BJ180,BI180,BG180,BD180,BB180,BA180,AY180,AV180,AU180,AT180,AS180,AR180,AQ180,AP180,AO180,AN180,AM180,AL180,AK180,AG180,AF180,AE180,AD180,AC180,AB180,AA180,Z180,Y180,X180,W180,V180,U180,T180,S180,P180,O180,M180,Table7[[#This Row],[Acyl_amino_acids]],E180,F180,G180,)</f>
        <v>0</v>
      </c>
    </row>
    <row r="181" spans="1:106" x14ac:dyDescent="0.25">
      <c r="A181" s="9" t="s">
        <v>793</v>
      </c>
      <c r="B181" s="1" t="s">
        <v>435</v>
      </c>
      <c r="C181" s="1" t="s">
        <v>411</v>
      </c>
      <c r="D181" s="3" t="s">
        <v>192</v>
      </c>
      <c r="E181" s="3" t="s">
        <v>192</v>
      </c>
      <c r="F181" s="3" t="s">
        <v>192</v>
      </c>
      <c r="G181" s="3" t="s">
        <v>192</v>
      </c>
      <c r="H181" s="3" t="s">
        <v>192</v>
      </c>
      <c r="I181" s="3" t="s">
        <v>192</v>
      </c>
      <c r="J181" s="3" t="s">
        <v>192</v>
      </c>
      <c r="K181" s="3" t="s">
        <v>192</v>
      </c>
      <c r="L181" s="3" t="s">
        <v>192</v>
      </c>
      <c r="M181" s="3" t="s">
        <v>192</v>
      </c>
      <c r="N181" s="3" t="s">
        <v>192</v>
      </c>
      <c r="O181" s="3" t="s">
        <v>192</v>
      </c>
      <c r="P181" s="3" t="s">
        <v>192</v>
      </c>
      <c r="Q181" s="3" t="s">
        <v>192</v>
      </c>
      <c r="R181" s="3" t="s">
        <v>192</v>
      </c>
      <c r="S181" s="3" t="s">
        <v>192</v>
      </c>
      <c r="T181" s="3" t="s">
        <v>192</v>
      </c>
      <c r="U181" s="3" t="s">
        <v>192</v>
      </c>
      <c r="V181" s="3" t="s">
        <v>192</v>
      </c>
      <c r="W181" s="3" t="s">
        <v>192</v>
      </c>
      <c r="X181" s="3" t="s">
        <v>192</v>
      </c>
      <c r="Y181" s="3" t="s">
        <v>192</v>
      </c>
      <c r="Z181" s="3" t="s">
        <v>192</v>
      </c>
      <c r="AA181" s="3" t="s">
        <v>192</v>
      </c>
      <c r="AB181" s="3" t="s">
        <v>192</v>
      </c>
      <c r="AC181" s="3" t="s">
        <v>192</v>
      </c>
      <c r="AD181" s="3" t="s">
        <v>192</v>
      </c>
      <c r="AE181" s="3" t="s">
        <v>192</v>
      </c>
      <c r="AF181" s="3" t="s">
        <v>192</v>
      </c>
      <c r="AG181" s="3" t="s">
        <v>192</v>
      </c>
      <c r="AH181" s="3" t="s">
        <v>192</v>
      </c>
      <c r="AI181" s="3" t="s">
        <v>192</v>
      </c>
      <c r="AJ181" s="3" t="s">
        <v>192</v>
      </c>
      <c r="AK181" s="3" t="s">
        <v>192</v>
      </c>
      <c r="AL181" s="3" t="s">
        <v>192</v>
      </c>
      <c r="AM181" s="3" t="s">
        <v>192</v>
      </c>
      <c r="AN181" s="3" t="s">
        <v>192</v>
      </c>
      <c r="AO181" s="3" t="s">
        <v>192</v>
      </c>
      <c r="AP181" s="3" t="s">
        <v>192</v>
      </c>
      <c r="AQ181" s="3" t="s">
        <v>192</v>
      </c>
      <c r="AR181" s="3" t="s">
        <v>192</v>
      </c>
      <c r="AS181" s="3" t="s">
        <v>192</v>
      </c>
      <c r="AT181" s="3" t="s">
        <v>192</v>
      </c>
      <c r="AU181" s="3" t="s">
        <v>192</v>
      </c>
      <c r="AV181" s="3" t="s">
        <v>192</v>
      </c>
      <c r="AW181" s="3" t="s">
        <v>192</v>
      </c>
      <c r="AX181" s="3" t="s">
        <v>192</v>
      </c>
      <c r="AY181" s="3" t="s">
        <v>192</v>
      </c>
      <c r="AZ181" s="3" t="s">
        <v>192</v>
      </c>
      <c r="BA181" s="3" t="s">
        <v>192</v>
      </c>
      <c r="BB181" s="3" t="s">
        <v>192</v>
      </c>
      <c r="BC181" s="3" t="s">
        <v>192</v>
      </c>
      <c r="BD181" s="3" t="s">
        <v>192</v>
      </c>
      <c r="BE181" s="3" t="s">
        <v>192</v>
      </c>
      <c r="BF181" s="3" t="s">
        <v>192</v>
      </c>
      <c r="BG181" s="3" t="s">
        <v>192</v>
      </c>
      <c r="BH181" s="3" t="s">
        <v>192</v>
      </c>
      <c r="BI181" s="3" t="s">
        <v>192</v>
      </c>
      <c r="BJ181" s="3" t="s">
        <v>192</v>
      </c>
      <c r="BK181" s="3" t="s">
        <v>192</v>
      </c>
      <c r="BL181" s="3" t="s">
        <v>192</v>
      </c>
      <c r="BM181" s="3" t="s">
        <v>192</v>
      </c>
      <c r="BN181" s="3" t="s">
        <v>192</v>
      </c>
      <c r="BO181" s="3" t="s">
        <v>192</v>
      </c>
      <c r="BP181" s="3" t="s">
        <v>192</v>
      </c>
      <c r="BQ181" s="3" t="s">
        <v>192</v>
      </c>
      <c r="BR181" s="3" t="s">
        <v>192</v>
      </c>
      <c r="BS181" s="3" t="s">
        <v>192</v>
      </c>
      <c r="BT181" s="3" t="s">
        <v>192</v>
      </c>
      <c r="BU181" s="3" t="s">
        <v>192</v>
      </c>
      <c r="BV181" s="3" t="s">
        <v>192</v>
      </c>
      <c r="BW181" s="3" t="s">
        <v>192</v>
      </c>
      <c r="BX181" s="3" t="s">
        <v>192</v>
      </c>
      <c r="BY181" s="3" t="s">
        <v>192</v>
      </c>
      <c r="BZ181" s="3" t="s">
        <v>192</v>
      </c>
      <c r="CA181" s="3" t="s">
        <v>192</v>
      </c>
      <c r="CB181" s="3" t="s">
        <v>192</v>
      </c>
      <c r="CC181" s="3" t="s">
        <v>192</v>
      </c>
      <c r="CD181" s="3" t="s">
        <v>192</v>
      </c>
      <c r="CE181" s="3" t="s">
        <v>192</v>
      </c>
      <c r="CF181" s="3" t="s">
        <v>192</v>
      </c>
      <c r="CG181" s="3">
        <v>3</v>
      </c>
      <c r="CH181" s="3" t="s">
        <v>192</v>
      </c>
      <c r="CI181" s="3" t="s">
        <v>192</v>
      </c>
      <c r="CJ181" s="3" t="s">
        <v>192</v>
      </c>
      <c r="CK181" s="3" t="s">
        <v>192</v>
      </c>
      <c r="CL181" s="3" t="s">
        <v>192</v>
      </c>
      <c r="CM181" s="3" t="s">
        <v>192</v>
      </c>
      <c r="CN181" s="3" t="s">
        <v>192</v>
      </c>
      <c r="CO181" s="3" t="s">
        <v>192</v>
      </c>
      <c r="CP181" s="3" t="s">
        <v>192</v>
      </c>
      <c r="CQ181" s="3" t="s">
        <v>192</v>
      </c>
      <c r="CR181" s="3" t="s">
        <v>192</v>
      </c>
      <c r="CS181" s="3" t="s">
        <v>192</v>
      </c>
      <c r="CT181" s="1">
        <f>SUM(Table7[[#This Row],[Acyl_amino_acids]:[T3PKS]])</f>
        <v>3</v>
      </c>
      <c r="CU181" s="3" t="s">
        <v>192</v>
      </c>
      <c r="CW181" s="1" t="str">
        <f>Table7[[#This Row],[NRPS]]</f>
        <v>-</v>
      </c>
      <c r="CX181" s="1">
        <f>SUM(CP181,CR181,CS181,Table7[[#This Row],[T1PKS, T3PKS]])</f>
        <v>0</v>
      </c>
      <c r="CY181" s="1">
        <f t="shared" si="2"/>
        <v>0</v>
      </c>
      <c r="CZ181" s="1">
        <f>Table7[[#This Row],[Terpene]]</f>
        <v>3</v>
      </c>
      <c r="DA181" s="1">
        <f>SUM(Table7[[#This Row],[Thiopeptide]],BH181,BF181,BE181,BC181,AZ181,AX181,AW181,AJ181,AH181,N181,L181,J181,H181,I181,K181,R181,Q181,Table7[[#This Row],[Cyanobactin, LAP]])</f>
        <v>0</v>
      </c>
      <c r="DB181" s="1">
        <f>SUM(CO181,CN181,CL181,CK181,CJ181,CI181,CH181,CF181,CE181,CD181,CB181,CA181,BZ181,BY181,BX181,BW181,BV181,BT181,BR181,BQ181,BP181,BO181,BM181,BK181,BJ181,BI181,BG181,BD181,BB181,BA181,AY181,AV181,AU181,AT181,AS181,AR181,AQ181,AP181,AO181,AN181,AM181,AL181,AK181,AG181,AF181,AE181,AD181,AC181,AB181,AA181,Z181,Y181,X181,W181,V181,U181,T181,S181,P181,O181,M181,Table7[[#This Row],[Acyl_amino_acids]],E181,F181,G181,)</f>
        <v>0</v>
      </c>
    </row>
    <row r="182" spans="1:106" x14ac:dyDescent="0.25">
      <c r="A182" s="9" t="s">
        <v>801</v>
      </c>
      <c r="B182" s="1" t="s">
        <v>435</v>
      </c>
      <c r="C182" s="1" t="s">
        <v>602</v>
      </c>
      <c r="D182" s="3" t="s">
        <v>192</v>
      </c>
      <c r="E182" s="3" t="s">
        <v>192</v>
      </c>
      <c r="F182" s="3" t="s">
        <v>192</v>
      </c>
      <c r="G182" s="3" t="s">
        <v>192</v>
      </c>
      <c r="H182" s="3" t="s">
        <v>192</v>
      </c>
      <c r="I182" s="3" t="s">
        <v>192</v>
      </c>
      <c r="J182" s="3" t="s">
        <v>192</v>
      </c>
      <c r="K182" s="3" t="s">
        <v>192</v>
      </c>
      <c r="L182" s="3" t="s">
        <v>192</v>
      </c>
      <c r="M182" s="3" t="s">
        <v>192</v>
      </c>
      <c r="N182" s="3" t="s">
        <v>192</v>
      </c>
      <c r="O182" s="3" t="s">
        <v>192</v>
      </c>
      <c r="P182" s="3" t="s">
        <v>192</v>
      </c>
      <c r="Q182" s="3" t="s">
        <v>192</v>
      </c>
      <c r="R182" s="3" t="s">
        <v>192</v>
      </c>
      <c r="S182" s="3" t="s">
        <v>192</v>
      </c>
      <c r="T182" s="3" t="s">
        <v>192</v>
      </c>
      <c r="U182" s="3" t="s">
        <v>192</v>
      </c>
      <c r="V182" s="3" t="s">
        <v>192</v>
      </c>
      <c r="W182" s="3" t="s">
        <v>192</v>
      </c>
      <c r="X182" s="3" t="s">
        <v>192</v>
      </c>
      <c r="Y182" s="3" t="s">
        <v>192</v>
      </c>
      <c r="Z182" s="3" t="s">
        <v>192</v>
      </c>
      <c r="AA182" s="3" t="s">
        <v>192</v>
      </c>
      <c r="AB182" s="3" t="s">
        <v>192</v>
      </c>
      <c r="AC182" s="3" t="s">
        <v>192</v>
      </c>
      <c r="AD182" s="3" t="s">
        <v>192</v>
      </c>
      <c r="AE182" s="3" t="s">
        <v>192</v>
      </c>
      <c r="AF182" s="3" t="s">
        <v>192</v>
      </c>
      <c r="AG182" s="3" t="s">
        <v>192</v>
      </c>
      <c r="AH182" s="3" t="s">
        <v>192</v>
      </c>
      <c r="AI182" s="3" t="s">
        <v>192</v>
      </c>
      <c r="AJ182" s="3" t="s">
        <v>192</v>
      </c>
      <c r="AK182" s="3" t="s">
        <v>192</v>
      </c>
      <c r="AL182" s="3" t="s">
        <v>192</v>
      </c>
      <c r="AM182" s="3" t="s">
        <v>192</v>
      </c>
      <c r="AN182" s="3" t="s">
        <v>192</v>
      </c>
      <c r="AO182" s="3" t="s">
        <v>192</v>
      </c>
      <c r="AP182" s="3" t="s">
        <v>192</v>
      </c>
      <c r="AQ182" s="3" t="s">
        <v>192</v>
      </c>
      <c r="AR182" s="3" t="s">
        <v>192</v>
      </c>
      <c r="AS182" s="3" t="s">
        <v>192</v>
      </c>
      <c r="AT182" s="3" t="s">
        <v>192</v>
      </c>
      <c r="AU182" s="3" t="s">
        <v>192</v>
      </c>
      <c r="AV182" s="3" t="s">
        <v>192</v>
      </c>
      <c r="AW182" s="3" t="s">
        <v>192</v>
      </c>
      <c r="AX182" s="3" t="s">
        <v>192</v>
      </c>
      <c r="AY182" s="3" t="s">
        <v>192</v>
      </c>
      <c r="AZ182" s="3" t="s">
        <v>192</v>
      </c>
      <c r="BA182" s="3" t="s">
        <v>192</v>
      </c>
      <c r="BB182" s="3" t="s">
        <v>192</v>
      </c>
      <c r="BC182" s="3" t="s">
        <v>192</v>
      </c>
      <c r="BD182" s="3" t="s">
        <v>192</v>
      </c>
      <c r="BE182" s="3" t="s">
        <v>192</v>
      </c>
      <c r="BF182" s="3" t="s">
        <v>192</v>
      </c>
      <c r="BG182" s="3" t="s">
        <v>192</v>
      </c>
      <c r="BH182" s="3" t="s">
        <v>192</v>
      </c>
      <c r="BI182" s="3" t="s">
        <v>192</v>
      </c>
      <c r="BJ182" s="3" t="s">
        <v>192</v>
      </c>
      <c r="BK182" s="3" t="s">
        <v>192</v>
      </c>
      <c r="BL182" s="3" t="s">
        <v>192</v>
      </c>
      <c r="BM182" s="3" t="s">
        <v>192</v>
      </c>
      <c r="BN182" s="3" t="s">
        <v>192</v>
      </c>
      <c r="BO182" s="3" t="s">
        <v>192</v>
      </c>
      <c r="BP182" s="3" t="s">
        <v>192</v>
      </c>
      <c r="BQ182" s="3" t="s">
        <v>192</v>
      </c>
      <c r="BR182" s="3" t="s">
        <v>192</v>
      </c>
      <c r="BS182" s="3" t="s">
        <v>192</v>
      </c>
      <c r="BT182" s="3" t="s">
        <v>192</v>
      </c>
      <c r="BU182" s="3" t="s">
        <v>192</v>
      </c>
      <c r="BV182" s="3" t="s">
        <v>192</v>
      </c>
      <c r="BW182" s="3" t="s">
        <v>192</v>
      </c>
      <c r="BX182" s="3" t="s">
        <v>192</v>
      </c>
      <c r="BY182" s="3" t="s">
        <v>192</v>
      </c>
      <c r="BZ182" s="3" t="s">
        <v>192</v>
      </c>
      <c r="CA182" s="3" t="s">
        <v>192</v>
      </c>
      <c r="CB182" s="3" t="s">
        <v>192</v>
      </c>
      <c r="CC182" s="3" t="s">
        <v>192</v>
      </c>
      <c r="CD182" s="3" t="s">
        <v>192</v>
      </c>
      <c r="CE182" s="3" t="s">
        <v>192</v>
      </c>
      <c r="CF182" s="3" t="s">
        <v>192</v>
      </c>
      <c r="CG182" s="3">
        <v>3</v>
      </c>
      <c r="CH182" s="3" t="s">
        <v>192</v>
      </c>
      <c r="CI182" s="3" t="s">
        <v>192</v>
      </c>
      <c r="CJ182" s="3" t="s">
        <v>192</v>
      </c>
      <c r="CK182" s="3" t="s">
        <v>192</v>
      </c>
      <c r="CL182" s="3" t="s">
        <v>192</v>
      </c>
      <c r="CM182" s="3" t="s">
        <v>192</v>
      </c>
      <c r="CN182" s="3" t="s">
        <v>192</v>
      </c>
      <c r="CO182" s="3" t="s">
        <v>192</v>
      </c>
      <c r="CP182" s="3" t="s">
        <v>192</v>
      </c>
      <c r="CQ182" s="3" t="s">
        <v>192</v>
      </c>
      <c r="CR182" s="3" t="s">
        <v>192</v>
      </c>
      <c r="CS182" s="3" t="s">
        <v>192</v>
      </c>
      <c r="CT182" s="1">
        <f>SUM(Table7[[#This Row],[Acyl_amino_acids]:[T3PKS]])</f>
        <v>3</v>
      </c>
      <c r="CU182" s="3" t="s">
        <v>192</v>
      </c>
      <c r="CW182" s="1" t="str">
        <f>Table7[[#This Row],[NRPS]]</f>
        <v>-</v>
      </c>
      <c r="CX182" s="1">
        <f>SUM(CP182,CR182,CS182,Table7[[#This Row],[T1PKS, T3PKS]])</f>
        <v>0</v>
      </c>
      <c r="CY182" s="1">
        <f t="shared" si="2"/>
        <v>0</v>
      </c>
      <c r="CZ182" s="1">
        <f>Table7[[#This Row],[Terpene]]</f>
        <v>3</v>
      </c>
      <c r="DA182" s="1">
        <f>SUM(Table7[[#This Row],[Thiopeptide]],BH182,BF182,BE182,BC182,AZ182,AX182,AW182,AJ182,AH182,N182,L182,J182,H182,I182,K182,R182,Q182,Table7[[#This Row],[Cyanobactin, LAP]])</f>
        <v>0</v>
      </c>
      <c r="DB182" s="1">
        <f>SUM(CO182,CN182,CL182,CK182,CJ182,CI182,CH182,CF182,CE182,CD182,CB182,CA182,BZ182,BY182,BX182,BW182,BV182,BT182,BR182,BQ182,BP182,BO182,BM182,BK182,BJ182,BI182,BG182,BD182,BB182,BA182,AY182,AV182,AU182,AT182,AS182,AR182,AQ182,AP182,AO182,AN182,AM182,AL182,AK182,AG182,AF182,AE182,AD182,AC182,AB182,AA182,Z182,Y182,X182,W182,V182,U182,T182,S182,P182,O182,M182,Table7[[#This Row],[Acyl_amino_acids]],E182,F182,G182,)</f>
        <v>0</v>
      </c>
    </row>
    <row r="183" spans="1:106" x14ac:dyDescent="0.25">
      <c r="A183" s="9" t="s">
        <v>729</v>
      </c>
      <c r="B183" s="1" t="s">
        <v>435</v>
      </c>
      <c r="C183" s="1" t="s">
        <v>412</v>
      </c>
      <c r="D183" s="1" t="s">
        <v>192</v>
      </c>
      <c r="E183" s="3" t="s">
        <v>192</v>
      </c>
      <c r="F183" s="3" t="s">
        <v>192</v>
      </c>
      <c r="G183" s="3" t="s">
        <v>192</v>
      </c>
      <c r="H183" s="3" t="s">
        <v>192</v>
      </c>
      <c r="I183" s="3" t="s">
        <v>192</v>
      </c>
      <c r="J183" s="3" t="s">
        <v>192</v>
      </c>
      <c r="K183" s="3" t="s">
        <v>192</v>
      </c>
      <c r="L183" s="3" t="s">
        <v>192</v>
      </c>
      <c r="M183" s="3" t="s">
        <v>192</v>
      </c>
      <c r="N183" s="3" t="s">
        <v>192</v>
      </c>
      <c r="O183" s="3" t="s">
        <v>192</v>
      </c>
      <c r="P183" s="3" t="s">
        <v>192</v>
      </c>
      <c r="Q183" s="3" t="s">
        <v>192</v>
      </c>
      <c r="R183" s="3" t="s">
        <v>192</v>
      </c>
      <c r="S183" s="3" t="s">
        <v>192</v>
      </c>
      <c r="T183" s="3" t="s">
        <v>192</v>
      </c>
      <c r="U183" s="3" t="s">
        <v>192</v>
      </c>
      <c r="V183" s="3" t="s">
        <v>192</v>
      </c>
      <c r="W183" s="3" t="s">
        <v>192</v>
      </c>
      <c r="X183" s="3" t="s">
        <v>192</v>
      </c>
      <c r="Y183" s="3" t="s">
        <v>192</v>
      </c>
      <c r="Z183" s="3" t="s">
        <v>192</v>
      </c>
      <c r="AA183" s="3" t="s">
        <v>192</v>
      </c>
      <c r="AB183" s="3" t="s">
        <v>192</v>
      </c>
      <c r="AC183" s="3" t="s">
        <v>192</v>
      </c>
      <c r="AD183" s="3" t="s">
        <v>192</v>
      </c>
      <c r="AE183" s="3" t="s">
        <v>192</v>
      </c>
      <c r="AF183" s="3" t="s">
        <v>192</v>
      </c>
      <c r="AG183" s="3" t="s">
        <v>192</v>
      </c>
      <c r="AH183" s="3" t="s">
        <v>192</v>
      </c>
      <c r="AI183" s="3" t="s">
        <v>192</v>
      </c>
      <c r="AJ183" s="3" t="s">
        <v>192</v>
      </c>
      <c r="AK183" s="3" t="s">
        <v>192</v>
      </c>
      <c r="AL183" s="3" t="s">
        <v>192</v>
      </c>
      <c r="AM183" s="3" t="s">
        <v>192</v>
      </c>
      <c r="AN183" s="3" t="s">
        <v>192</v>
      </c>
      <c r="AO183" s="3" t="s">
        <v>192</v>
      </c>
      <c r="AP183" s="3" t="s">
        <v>192</v>
      </c>
      <c r="AQ183" s="3" t="s">
        <v>192</v>
      </c>
      <c r="AR183" s="3" t="s">
        <v>192</v>
      </c>
      <c r="AS183" s="3" t="s">
        <v>192</v>
      </c>
      <c r="AT183" s="3" t="s">
        <v>192</v>
      </c>
      <c r="AU183" s="3" t="s">
        <v>192</v>
      </c>
      <c r="AV183" s="3" t="s">
        <v>192</v>
      </c>
      <c r="AW183" s="3" t="s">
        <v>192</v>
      </c>
      <c r="AX183" s="3" t="s">
        <v>192</v>
      </c>
      <c r="AY183" s="3" t="s">
        <v>192</v>
      </c>
      <c r="AZ183" s="3" t="s">
        <v>192</v>
      </c>
      <c r="BA183" s="3" t="s">
        <v>192</v>
      </c>
      <c r="BB183" s="3" t="s">
        <v>192</v>
      </c>
      <c r="BC183" s="3" t="s">
        <v>192</v>
      </c>
      <c r="BD183" s="3" t="s">
        <v>192</v>
      </c>
      <c r="BE183" s="3" t="s">
        <v>192</v>
      </c>
      <c r="BF183" s="3" t="s">
        <v>192</v>
      </c>
      <c r="BG183" s="3" t="s">
        <v>192</v>
      </c>
      <c r="BH183" s="3" t="s">
        <v>192</v>
      </c>
      <c r="BI183" s="3" t="s">
        <v>192</v>
      </c>
      <c r="BJ183" s="3" t="s">
        <v>192</v>
      </c>
      <c r="BK183" s="3" t="s">
        <v>192</v>
      </c>
      <c r="BL183" s="3" t="s">
        <v>192</v>
      </c>
      <c r="BM183" s="3" t="s">
        <v>192</v>
      </c>
      <c r="BN183" s="3" t="s">
        <v>192</v>
      </c>
      <c r="BO183" s="3" t="s">
        <v>192</v>
      </c>
      <c r="BP183" s="3" t="s">
        <v>192</v>
      </c>
      <c r="BQ183" s="3" t="s">
        <v>192</v>
      </c>
      <c r="BR183" s="3" t="s">
        <v>192</v>
      </c>
      <c r="BS183" s="3" t="s">
        <v>192</v>
      </c>
      <c r="BT183" s="3" t="s">
        <v>192</v>
      </c>
      <c r="BU183" s="3" t="s">
        <v>192</v>
      </c>
      <c r="BV183" s="3" t="s">
        <v>192</v>
      </c>
      <c r="BW183" s="3" t="s">
        <v>192</v>
      </c>
      <c r="BX183" s="3" t="s">
        <v>192</v>
      </c>
      <c r="BY183" s="3" t="s">
        <v>192</v>
      </c>
      <c r="BZ183" s="3" t="s">
        <v>192</v>
      </c>
      <c r="CA183" s="3" t="s">
        <v>192</v>
      </c>
      <c r="CB183" s="3" t="s">
        <v>192</v>
      </c>
      <c r="CC183" s="3" t="s">
        <v>192</v>
      </c>
      <c r="CD183" s="3" t="s">
        <v>192</v>
      </c>
      <c r="CE183" s="3" t="s">
        <v>192</v>
      </c>
      <c r="CF183" s="3" t="s">
        <v>192</v>
      </c>
      <c r="CG183" s="3">
        <v>3</v>
      </c>
      <c r="CH183" s="3" t="s">
        <v>192</v>
      </c>
      <c r="CI183" s="3" t="s">
        <v>192</v>
      </c>
      <c r="CJ183" s="3" t="s">
        <v>192</v>
      </c>
      <c r="CK183" s="3" t="s">
        <v>192</v>
      </c>
      <c r="CL183" s="3" t="s">
        <v>192</v>
      </c>
      <c r="CM183" s="3" t="s">
        <v>192</v>
      </c>
      <c r="CN183" s="3" t="s">
        <v>192</v>
      </c>
      <c r="CO183" s="3" t="s">
        <v>192</v>
      </c>
      <c r="CP183" s="3" t="s">
        <v>192</v>
      </c>
      <c r="CQ183" s="3" t="s">
        <v>192</v>
      </c>
      <c r="CR183" s="3" t="s">
        <v>192</v>
      </c>
      <c r="CS183" s="3" t="s">
        <v>192</v>
      </c>
      <c r="CT183" s="1">
        <f>SUM(Table7[[#This Row],[Acyl_amino_acids]:[T3PKS]])</f>
        <v>3</v>
      </c>
      <c r="CU183" s="3" t="s">
        <v>192</v>
      </c>
      <c r="CW183" s="1" t="str">
        <f>Table7[[#This Row],[NRPS]]</f>
        <v>-</v>
      </c>
      <c r="CX183" s="1">
        <f>SUM(CP183,CR183,CS183,Table7[[#This Row],[T1PKS, T3PKS]])</f>
        <v>0</v>
      </c>
      <c r="CY183" s="1">
        <f t="shared" si="2"/>
        <v>0</v>
      </c>
      <c r="CZ183" s="1">
        <f>Table7[[#This Row],[Terpene]]</f>
        <v>3</v>
      </c>
      <c r="DA183" s="1">
        <f>SUM(Table7[[#This Row],[Thiopeptide]],BH183,BF183,BE183,BC183,AZ183,AX183,AW183,AJ183,AH183,N183,L183,J183,H183,I183,K183,R183,Q183,Table7[[#This Row],[Cyanobactin, LAP]])</f>
        <v>0</v>
      </c>
      <c r="DB183" s="1">
        <f>SUM(CO183,CN183,CL183,CK183,CJ183,CI183,CH183,CF183,CE183,CD183,CB183,CA183,BZ183,BY183,BX183,BW183,BV183,BT183,BR183,BQ183,BP183,BO183,BM183,BK183,BJ183,BI183,BG183,BD183,BB183,BA183,AY183,AV183,AU183,AT183,AS183,AR183,AQ183,AP183,AO183,AN183,AM183,AL183,AK183,AG183,AF183,AE183,AD183,AC183,AB183,AA183,Z183,Y183,X183,W183,V183,U183,T183,S183,P183,O183,M183,Table7[[#This Row],[Acyl_amino_acids]],E183,F183,G183,)</f>
        <v>0</v>
      </c>
    </row>
    <row r="184" spans="1:106" x14ac:dyDescent="0.25">
      <c r="A184" s="9" t="s">
        <v>775</v>
      </c>
      <c r="B184" s="1" t="s">
        <v>435</v>
      </c>
      <c r="C184" s="1" t="s">
        <v>413</v>
      </c>
      <c r="D184" s="3" t="s">
        <v>192</v>
      </c>
      <c r="E184" s="3" t="s">
        <v>192</v>
      </c>
      <c r="F184" s="3" t="s">
        <v>192</v>
      </c>
      <c r="G184" s="3" t="s">
        <v>192</v>
      </c>
      <c r="H184" s="3" t="s">
        <v>192</v>
      </c>
      <c r="I184" s="3" t="s">
        <v>192</v>
      </c>
      <c r="J184" s="3" t="s">
        <v>192</v>
      </c>
      <c r="K184" s="3" t="s">
        <v>192</v>
      </c>
      <c r="L184" s="3" t="s">
        <v>192</v>
      </c>
      <c r="M184" s="3" t="s">
        <v>192</v>
      </c>
      <c r="N184" s="3" t="s">
        <v>192</v>
      </c>
      <c r="O184" s="3" t="s">
        <v>192</v>
      </c>
      <c r="P184" s="3" t="s">
        <v>192</v>
      </c>
      <c r="Q184" s="3" t="s">
        <v>192</v>
      </c>
      <c r="R184" s="3" t="s">
        <v>192</v>
      </c>
      <c r="S184" s="3" t="s">
        <v>192</v>
      </c>
      <c r="T184" s="3" t="s">
        <v>192</v>
      </c>
      <c r="U184" s="3" t="s">
        <v>192</v>
      </c>
      <c r="V184" s="3" t="s">
        <v>192</v>
      </c>
      <c r="W184" s="3" t="s">
        <v>192</v>
      </c>
      <c r="X184" s="3" t="s">
        <v>192</v>
      </c>
      <c r="Y184" s="3" t="s">
        <v>192</v>
      </c>
      <c r="Z184" s="3" t="s">
        <v>192</v>
      </c>
      <c r="AA184" s="3" t="s">
        <v>192</v>
      </c>
      <c r="AB184" s="3" t="s">
        <v>192</v>
      </c>
      <c r="AC184" s="3" t="s">
        <v>192</v>
      </c>
      <c r="AD184" s="3" t="s">
        <v>192</v>
      </c>
      <c r="AE184" s="3" t="s">
        <v>192</v>
      </c>
      <c r="AF184" s="3" t="s">
        <v>192</v>
      </c>
      <c r="AG184" s="3" t="s">
        <v>192</v>
      </c>
      <c r="AH184" s="3" t="s">
        <v>192</v>
      </c>
      <c r="AI184" s="3" t="s">
        <v>192</v>
      </c>
      <c r="AJ184" s="3" t="s">
        <v>192</v>
      </c>
      <c r="AK184" s="3" t="s">
        <v>192</v>
      </c>
      <c r="AL184" s="3" t="s">
        <v>192</v>
      </c>
      <c r="AM184" s="3" t="s">
        <v>192</v>
      </c>
      <c r="AN184" s="3" t="s">
        <v>192</v>
      </c>
      <c r="AO184" s="3" t="s">
        <v>192</v>
      </c>
      <c r="AP184" s="3" t="s">
        <v>192</v>
      </c>
      <c r="AQ184" s="3" t="s">
        <v>192</v>
      </c>
      <c r="AR184" s="3" t="s">
        <v>192</v>
      </c>
      <c r="AS184" s="3" t="s">
        <v>192</v>
      </c>
      <c r="AT184" s="3" t="s">
        <v>192</v>
      </c>
      <c r="AU184" s="3" t="s">
        <v>192</v>
      </c>
      <c r="AV184" s="3" t="s">
        <v>192</v>
      </c>
      <c r="AW184" s="3" t="s">
        <v>192</v>
      </c>
      <c r="AX184" s="3" t="s">
        <v>192</v>
      </c>
      <c r="AY184" s="3" t="s">
        <v>192</v>
      </c>
      <c r="AZ184" s="3" t="s">
        <v>192</v>
      </c>
      <c r="BA184" s="3" t="s">
        <v>192</v>
      </c>
      <c r="BB184" s="3" t="s">
        <v>192</v>
      </c>
      <c r="BC184" s="3" t="s">
        <v>192</v>
      </c>
      <c r="BD184" s="3" t="s">
        <v>192</v>
      </c>
      <c r="BE184" s="3" t="s">
        <v>192</v>
      </c>
      <c r="BF184" s="3" t="s">
        <v>192</v>
      </c>
      <c r="BG184" s="3" t="s">
        <v>192</v>
      </c>
      <c r="BH184" s="3" t="s">
        <v>192</v>
      </c>
      <c r="BI184" s="3" t="s">
        <v>192</v>
      </c>
      <c r="BJ184" s="3" t="s">
        <v>192</v>
      </c>
      <c r="BK184" s="3" t="s">
        <v>192</v>
      </c>
      <c r="BL184" s="3" t="s">
        <v>192</v>
      </c>
      <c r="BM184" s="3" t="s">
        <v>192</v>
      </c>
      <c r="BN184" s="3" t="s">
        <v>192</v>
      </c>
      <c r="BO184" s="3" t="s">
        <v>192</v>
      </c>
      <c r="BP184" s="3" t="s">
        <v>192</v>
      </c>
      <c r="BQ184" s="3" t="s">
        <v>192</v>
      </c>
      <c r="BR184" s="3" t="s">
        <v>192</v>
      </c>
      <c r="BS184" s="3" t="s">
        <v>192</v>
      </c>
      <c r="BT184" s="3" t="s">
        <v>192</v>
      </c>
      <c r="BU184" s="3" t="s">
        <v>192</v>
      </c>
      <c r="BV184" s="3" t="s">
        <v>192</v>
      </c>
      <c r="BW184" s="3" t="s">
        <v>192</v>
      </c>
      <c r="BX184" s="3" t="s">
        <v>192</v>
      </c>
      <c r="BY184" s="3" t="s">
        <v>192</v>
      </c>
      <c r="BZ184" s="3" t="s">
        <v>192</v>
      </c>
      <c r="CA184" s="3" t="s">
        <v>192</v>
      </c>
      <c r="CB184" s="3" t="s">
        <v>192</v>
      </c>
      <c r="CC184" s="3" t="s">
        <v>192</v>
      </c>
      <c r="CD184" s="3" t="s">
        <v>192</v>
      </c>
      <c r="CE184" s="3" t="s">
        <v>192</v>
      </c>
      <c r="CF184" s="3" t="s">
        <v>192</v>
      </c>
      <c r="CG184" s="3">
        <v>3</v>
      </c>
      <c r="CH184" s="3" t="s">
        <v>192</v>
      </c>
      <c r="CI184" s="3" t="s">
        <v>192</v>
      </c>
      <c r="CJ184" s="3" t="s">
        <v>192</v>
      </c>
      <c r="CK184" s="3" t="s">
        <v>192</v>
      </c>
      <c r="CL184" s="3" t="s">
        <v>192</v>
      </c>
      <c r="CM184" s="3" t="s">
        <v>192</v>
      </c>
      <c r="CN184" s="3" t="s">
        <v>192</v>
      </c>
      <c r="CO184" s="3" t="s">
        <v>192</v>
      </c>
      <c r="CP184" s="3" t="s">
        <v>192</v>
      </c>
      <c r="CQ184" s="3" t="s">
        <v>192</v>
      </c>
      <c r="CR184" s="3" t="s">
        <v>192</v>
      </c>
      <c r="CS184" s="3" t="s">
        <v>192</v>
      </c>
      <c r="CT184" s="1">
        <f>SUM(Table7[[#This Row],[Acyl_amino_acids]:[T3PKS]])</f>
        <v>3</v>
      </c>
      <c r="CU184" s="3" t="s">
        <v>192</v>
      </c>
      <c r="CW184" s="1" t="str">
        <f>Table7[[#This Row],[NRPS]]</f>
        <v>-</v>
      </c>
      <c r="CX184" s="1">
        <f>SUM(CP184,CR184,CS184,Table7[[#This Row],[T1PKS, T3PKS]])</f>
        <v>0</v>
      </c>
      <c r="CY184" s="1">
        <f t="shared" si="2"/>
        <v>0</v>
      </c>
      <c r="CZ184" s="1">
        <f>Table7[[#This Row],[Terpene]]</f>
        <v>3</v>
      </c>
      <c r="DA184" s="1">
        <f>SUM(Table7[[#This Row],[Thiopeptide]],BH184,BF184,BE184,BC184,AZ184,AX184,AW184,AJ184,AH184,N184,L184,J184,H184,I184,K184,R184,Q184,Table7[[#This Row],[Cyanobactin, LAP]])</f>
        <v>0</v>
      </c>
      <c r="DB184" s="1">
        <f>SUM(CO184,CN184,CL184,CK184,CJ184,CI184,CH184,CF184,CE184,CD184,CB184,CA184,BZ184,BY184,BX184,BW184,BV184,BT184,BR184,BQ184,BP184,BO184,BM184,BK184,BJ184,BI184,BG184,BD184,BB184,BA184,AY184,AV184,AU184,AT184,AS184,AR184,AQ184,AP184,AO184,AN184,AM184,AL184,AK184,AG184,AF184,AE184,AD184,AC184,AB184,AA184,Z184,Y184,X184,W184,V184,U184,T184,S184,P184,O184,M184,Table7[[#This Row],[Acyl_amino_acids]],E184,F184,G184,)</f>
        <v>0</v>
      </c>
    </row>
    <row r="185" spans="1:106" x14ac:dyDescent="0.25">
      <c r="A185" s="9" t="s">
        <v>773</v>
      </c>
      <c r="B185" s="1" t="s">
        <v>435</v>
      </c>
      <c r="C185" s="1" t="s">
        <v>417</v>
      </c>
      <c r="D185" s="3" t="s">
        <v>192</v>
      </c>
      <c r="E185" s="3" t="s">
        <v>192</v>
      </c>
      <c r="F185" s="3" t="s">
        <v>192</v>
      </c>
      <c r="G185" s="3" t="s">
        <v>192</v>
      </c>
      <c r="H185" s="3">
        <v>2</v>
      </c>
      <c r="I185" s="3" t="s">
        <v>192</v>
      </c>
      <c r="J185" s="3" t="s">
        <v>192</v>
      </c>
      <c r="K185" s="3" t="s">
        <v>192</v>
      </c>
      <c r="L185" s="3" t="s">
        <v>192</v>
      </c>
      <c r="M185" s="3" t="s">
        <v>192</v>
      </c>
      <c r="N185" s="3" t="s">
        <v>192</v>
      </c>
      <c r="O185" s="3" t="s">
        <v>192</v>
      </c>
      <c r="P185" s="3" t="s">
        <v>192</v>
      </c>
      <c r="Q185" s="3" t="s">
        <v>192</v>
      </c>
      <c r="R185" s="3" t="s">
        <v>192</v>
      </c>
      <c r="S185" s="3" t="s">
        <v>192</v>
      </c>
      <c r="T185" s="3" t="s">
        <v>192</v>
      </c>
      <c r="U185" s="3" t="s">
        <v>192</v>
      </c>
      <c r="V185" s="3" t="s">
        <v>192</v>
      </c>
      <c r="W185" s="3" t="s">
        <v>192</v>
      </c>
      <c r="X185" s="3" t="s">
        <v>192</v>
      </c>
      <c r="Y185" s="3" t="s">
        <v>192</v>
      </c>
      <c r="Z185" s="3" t="s">
        <v>192</v>
      </c>
      <c r="AA185" s="3" t="s">
        <v>192</v>
      </c>
      <c r="AB185" s="3" t="s">
        <v>192</v>
      </c>
      <c r="AC185" s="3" t="s">
        <v>192</v>
      </c>
      <c r="AD185" s="3" t="s">
        <v>192</v>
      </c>
      <c r="AE185" s="3" t="s">
        <v>192</v>
      </c>
      <c r="AF185" s="3" t="s">
        <v>192</v>
      </c>
      <c r="AG185" s="3" t="s">
        <v>192</v>
      </c>
      <c r="AH185" s="3">
        <v>1</v>
      </c>
      <c r="AI185" s="3" t="s">
        <v>192</v>
      </c>
      <c r="AJ185" s="3" t="s">
        <v>192</v>
      </c>
      <c r="AK185" s="3" t="s">
        <v>192</v>
      </c>
      <c r="AL185" s="3" t="s">
        <v>192</v>
      </c>
      <c r="AM185" s="3" t="s">
        <v>192</v>
      </c>
      <c r="AN185" s="3" t="s">
        <v>192</v>
      </c>
      <c r="AO185" s="3" t="s">
        <v>192</v>
      </c>
      <c r="AP185" s="3" t="s">
        <v>192</v>
      </c>
      <c r="AQ185" s="3">
        <v>1</v>
      </c>
      <c r="AR185" s="3" t="s">
        <v>192</v>
      </c>
      <c r="AS185" s="3" t="s">
        <v>192</v>
      </c>
      <c r="AT185" s="3" t="s">
        <v>192</v>
      </c>
      <c r="AU185" s="3" t="s">
        <v>192</v>
      </c>
      <c r="AV185" s="3" t="s">
        <v>192</v>
      </c>
      <c r="AW185" s="3" t="s">
        <v>192</v>
      </c>
      <c r="AX185" s="3" t="s">
        <v>192</v>
      </c>
      <c r="AY185" s="3" t="s">
        <v>192</v>
      </c>
      <c r="AZ185" s="3" t="s">
        <v>192</v>
      </c>
      <c r="BA185" s="3" t="s">
        <v>192</v>
      </c>
      <c r="BB185" s="3" t="s">
        <v>192</v>
      </c>
      <c r="BC185" s="3" t="s">
        <v>192</v>
      </c>
      <c r="BD185" s="3" t="s">
        <v>192</v>
      </c>
      <c r="BE185" s="3" t="s">
        <v>192</v>
      </c>
      <c r="BF185" s="3" t="s">
        <v>192</v>
      </c>
      <c r="BG185" s="3" t="s">
        <v>192</v>
      </c>
      <c r="BH185" s="3" t="s">
        <v>192</v>
      </c>
      <c r="BI185" s="3" t="s">
        <v>192</v>
      </c>
      <c r="BJ185" s="3" t="s">
        <v>192</v>
      </c>
      <c r="BK185" s="3" t="s">
        <v>192</v>
      </c>
      <c r="BL185" s="3">
        <v>4</v>
      </c>
      <c r="BM185" s="3" t="s">
        <v>192</v>
      </c>
      <c r="BN185" s="3" t="s">
        <v>192</v>
      </c>
      <c r="BO185" s="3" t="s">
        <v>192</v>
      </c>
      <c r="BP185" s="3" t="s">
        <v>192</v>
      </c>
      <c r="BQ185" s="3" t="s">
        <v>192</v>
      </c>
      <c r="BR185" s="3" t="s">
        <v>192</v>
      </c>
      <c r="BS185" s="3">
        <v>3</v>
      </c>
      <c r="BT185" s="3" t="s">
        <v>192</v>
      </c>
      <c r="BU185" s="3" t="s">
        <v>192</v>
      </c>
      <c r="BV185" s="3" t="s">
        <v>192</v>
      </c>
      <c r="BW185" s="3" t="s">
        <v>192</v>
      </c>
      <c r="BX185" s="3" t="s">
        <v>192</v>
      </c>
      <c r="BY185" s="3" t="s">
        <v>192</v>
      </c>
      <c r="BZ185" s="3" t="s">
        <v>192</v>
      </c>
      <c r="CA185" s="3" t="s">
        <v>192</v>
      </c>
      <c r="CB185" s="3" t="s">
        <v>192</v>
      </c>
      <c r="CC185" s="3" t="s">
        <v>192</v>
      </c>
      <c r="CD185" s="3" t="s">
        <v>192</v>
      </c>
      <c r="CE185" s="3" t="s">
        <v>192</v>
      </c>
      <c r="CF185" s="3" t="s">
        <v>192</v>
      </c>
      <c r="CG185" s="3">
        <v>4</v>
      </c>
      <c r="CH185" s="3" t="s">
        <v>192</v>
      </c>
      <c r="CI185" s="3" t="s">
        <v>192</v>
      </c>
      <c r="CJ185" s="3" t="s">
        <v>192</v>
      </c>
      <c r="CK185" s="3" t="s">
        <v>192</v>
      </c>
      <c r="CL185" s="3" t="s">
        <v>192</v>
      </c>
      <c r="CM185" s="3" t="s">
        <v>192</v>
      </c>
      <c r="CN185" s="3" t="s">
        <v>192</v>
      </c>
      <c r="CO185" s="3" t="s">
        <v>192</v>
      </c>
      <c r="CP185" s="3" t="s">
        <v>192</v>
      </c>
      <c r="CQ185" s="3" t="s">
        <v>192</v>
      </c>
      <c r="CR185" s="3" t="s">
        <v>192</v>
      </c>
      <c r="CS185" s="3" t="s">
        <v>192</v>
      </c>
      <c r="CT185" s="1">
        <f>SUM(Table7[[#This Row],[Acyl_amino_acids]:[T3PKS]])</f>
        <v>15</v>
      </c>
      <c r="CU185" s="3" t="s">
        <v>218</v>
      </c>
      <c r="CW185" s="1">
        <f>Table7[[#This Row],[NRPS]]</f>
        <v>4</v>
      </c>
      <c r="CX185" s="1">
        <f>SUM(CP185,CR185,CS185,Table7[[#This Row],[T1PKS, T3PKS]])</f>
        <v>0</v>
      </c>
      <c r="CY185" s="1">
        <f t="shared" si="2"/>
        <v>3</v>
      </c>
      <c r="CZ185" s="1">
        <f>Table7[[#This Row],[Terpene]]</f>
        <v>4</v>
      </c>
      <c r="DA185" s="1">
        <f>SUM(Table7[[#This Row],[Thiopeptide]],BH185,BF185,BE185,BC185,AZ185,AX185,AW185,AJ185,AH185,N185,L185,J185,H185,I185,K185,R185,Q185,Table7[[#This Row],[Cyanobactin, LAP]])</f>
        <v>3</v>
      </c>
      <c r="DB185" s="1">
        <f>SUM(CO185,CN185,CL185,CK185,CJ185,CI185,CH185,CF185,CE185,CD185,CB185,CA185,BZ185,BY185,BX185,BW185,BV185,BT185,BR185,BQ185,BP185,BO185,BM185,BK185,BJ185,BI185,BG185,BD185,BB185,BA185,AY185,AV185,AU185,AT185,AS185,AR185,AQ185,AP185,AO185,AN185,AM185,AL185,AK185,AG185,AF185,AE185,AD185,AC185,AB185,AA185,Z185,Y185,X185,W185,V185,U185,T185,S185,P185,O185,M185,Table7[[#This Row],[Acyl_amino_acids]],E185,F185,G185,)</f>
        <v>1</v>
      </c>
    </row>
    <row r="186" spans="1:106" x14ac:dyDescent="0.25">
      <c r="A186" s="9" t="s">
        <v>684</v>
      </c>
      <c r="B186" s="1" t="s">
        <v>435</v>
      </c>
      <c r="C186" s="1" t="s">
        <v>414</v>
      </c>
      <c r="D186" s="1" t="s">
        <v>192</v>
      </c>
      <c r="E186" s="1" t="s">
        <v>192</v>
      </c>
      <c r="F186" s="1" t="s">
        <v>192</v>
      </c>
      <c r="G186" s="1" t="s">
        <v>192</v>
      </c>
      <c r="H186" s="1" t="s">
        <v>192</v>
      </c>
      <c r="I186" s="1" t="s">
        <v>192</v>
      </c>
      <c r="J186" s="1">
        <v>1</v>
      </c>
      <c r="K186" s="1" t="s">
        <v>192</v>
      </c>
      <c r="L186" s="1" t="s">
        <v>192</v>
      </c>
      <c r="M186" s="1" t="s">
        <v>192</v>
      </c>
      <c r="N186" s="1" t="s">
        <v>192</v>
      </c>
      <c r="O186" s="1" t="s">
        <v>192</v>
      </c>
      <c r="P186" s="1" t="s">
        <v>192</v>
      </c>
      <c r="Q186" s="1" t="s">
        <v>192</v>
      </c>
      <c r="R186" s="1" t="s">
        <v>192</v>
      </c>
      <c r="S186" s="1" t="s">
        <v>192</v>
      </c>
      <c r="T186" s="1" t="s">
        <v>192</v>
      </c>
      <c r="U186" s="1" t="s">
        <v>192</v>
      </c>
      <c r="V186" s="1" t="s">
        <v>192</v>
      </c>
      <c r="W186" s="1" t="s">
        <v>192</v>
      </c>
      <c r="X186" s="1" t="s">
        <v>192</v>
      </c>
      <c r="Y186" s="1" t="s">
        <v>192</v>
      </c>
      <c r="Z186" s="1" t="s">
        <v>192</v>
      </c>
      <c r="AA186" s="1" t="s">
        <v>192</v>
      </c>
      <c r="AB186" s="1" t="s">
        <v>192</v>
      </c>
      <c r="AC186" s="1" t="s">
        <v>192</v>
      </c>
      <c r="AD186" s="1" t="s">
        <v>192</v>
      </c>
      <c r="AE186" s="1" t="s">
        <v>192</v>
      </c>
      <c r="AF186" s="1" t="s">
        <v>192</v>
      </c>
      <c r="AG186" s="1" t="s">
        <v>192</v>
      </c>
      <c r="AH186" s="1" t="s">
        <v>192</v>
      </c>
      <c r="AI186" s="1" t="s">
        <v>192</v>
      </c>
      <c r="AJ186" s="1" t="s">
        <v>192</v>
      </c>
      <c r="AK186" s="1" t="s">
        <v>192</v>
      </c>
      <c r="AL186" s="1" t="s">
        <v>192</v>
      </c>
      <c r="AM186" s="1" t="s">
        <v>192</v>
      </c>
      <c r="AN186" s="1" t="s">
        <v>192</v>
      </c>
      <c r="AO186" s="1" t="s">
        <v>192</v>
      </c>
      <c r="AP186" s="1" t="s">
        <v>192</v>
      </c>
      <c r="AQ186" s="1" t="s">
        <v>192</v>
      </c>
      <c r="AR186" s="1" t="s">
        <v>192</v>
      </c>
      <c r="AS186" s="1" t="s">
        <v>192</v>
      </c>
      <c r="AT186" s="1" t="s">
        <v>192</v>
      </c>
      <c r="AU186" s="1" t="s">
        <v>192</v>
      </c>
      <c r="AV186" s="1" t="s">
        <v>192</v>
      </c>
      <c r="AW186" s="1" t="s">
        <v>192</v>
      </c>
      <c r="AX186" s="1" t="s">
        <v>192</v>
      </c>
      <c r="AY186" s="1" t="s">
        <v>192</v>
      </c>
      <c r="AZ186" s="1" t="s">
        <v>192</v>
      </c>
      <c r="BA186" s="1" t="s">
        <v>192</v>
      </c>
      <c r="BB186" s="1" t="s">
        <v>192</v>
      </c>
      <c r="BC186" s="1" t="s">
        <v>192</v>
      </c>
      <c r="BD186" s="1" t="s">
        <v>192</v>
      </c>
      <c r="BE186" s="1" t="s">
        <v>192</v>
      </c>
      <c r="BF186" s="1" t="s">
        <v>192</v>
      </c>
      <c r="BG186" s="1" t="s">
        <v>192</v>
      </c>
      <c r="BH186" s="1" t="s">
        <v>192</v>
      </c>
      <c r="BI186" s="1" t="s">
        <v>192</v>
      </c>
      <c r="BJ186" s="1" t="s">
        <v>192</v>
      </c>
      <c r="BK186" s="1" t="s">
        <v>192</v>
      </c>
      <c r="BL186" s="1">
        <v>2</v>
      </c>
      <c r="BM186" s="1" t="s">
        <v>192</v>
      </c>
      <c r="BN186" s="1" t="s">
        <v>192</v>
      </c>
      <c r="BO186" s="1" t="s">
        <v>192</v>
      </c>
      <c r="BP186" s="1" t="s">
        <v>192</v>
      </c>
      <c r="BQ186" s="1" t="s">
        <v>192</v>
      </c>
      <c r="BR186" s="1" t="s">
        <v>192</v>
      </c>
      <c r="BS186" s="1">
        <v>1</v>
      </c>
      <c r="BT186" s="1" t="s">
        <v>192</v>
      </c>
      <c r="BU186" s="1" t="s">
        <v>192</v>
      </c>
      <c r="BV186" s="1" t="s">
        <v>192</v>
      </c>
      <c r="BW186" s="1" t="s">
        <v>192</v>
      </c>
      <c r="BX186" s="1" t="s">
        <v>192</v>
      </c>
      <c r="BY186" s="1" t="s">
        <v>192</v>
      </c>
      <c r="BZ186" s="1" t="s">
        <v>192</v>
      </c>
      <c r="CA186" s="1" t="s">
        <v>192</v>
      </c>
      <c r="CB186" s="1" t="s">
        <v>192</v>
      </c>
      <c r="CC186" s="1" t="s">
        <v>192</v>
      </c>
      <c r="CD186" s="1" t="s">
        <v>192</v>
      </c>
      <c r="CE186" s="1" t="s">
        <v>192</v>
      </c>
      <c r="CF186" s="1" t="s">
        <v>192</v>
      </c>
      <c r="CG186" s="1">
        <v>3</v>
      </c>
      <c r="CH186" s="1" t="s">
        <v>192</v>
      </c>
      <c r="CI186" s="1" t="s">
        <v>192</v>
      </c>
      <c r="CJ186" s="1" t="s">
        <v>192</v>
      </c>
      <c r="CK186" s="1" t="s">
        <v>192</v>
      </c>
      <c r="CL186" s="1" t="s">
        <v>192</v>
      </c>
      <c r="CM186" s="1" t="s">
        <v>192</v>
      </c>
      <c r="CN186" s="1" t="s">
        <v>192</v>
      </c>
      <c r="CO186" s="1" t="s">
        <v>192</v>
      </c>
      <c r="CP186" s="1" t="s">
        <v>192</v>
      </c>
      <c r="CQ186" s="1" t="s">
        <v>192</v>
      </c>
      <c r="CR186" s="1" t="s">
        <v>192</v>
      </c>
      <c r="CS186" s="1" t="s">
        <v>192</v>
      </c>
      <c r="CT186" s="1">
        <f>SUM(Table7[[#This Row],[Acyl_amino_acids]:[T3PKS]])</f>
        <v>7</v>
      </c>
      <c r="CU186" s="1" t="s">
        <v>241</v>
      </c>
      <c r="CW186" s="1">
        <f>Table7[[#This Row],[NRPS]]</f>
        <v>2</v>
      </c>
      <c r="CX186" s="1">
        <f>SUM(CP186,CR186,CS186,Table7[[#This Row],[T1PKS, T3PKS]])</f>
        <v>0</v>
      </c>
      <c r="CY186" s="1">
        <f t="shared" si="2"/>
        <v>1</v>
      </c>
      <c r="CZ186" s="1">
        <f>Table7[[#This Row],[Terpene]]</f>
        <v>3</v>
      </c>
      <c r="DA186" s="1">
        <f>SUM(Table7[[#This Row],[Thiopeptide]],BH186,BF186,BE186,BC186,AZ186,AX186,AW186,AJ186,AH186,N186,L186,J186,H186,I186,K186,R186,Q186,Table7[[#This Row],[Cyanobactin, LAP]])</f>
        <v>1</v>
      </c>
      <c r="DB186" s="1">
        <f>SUM(CO186,CN186,CL186,CK186,CJ186,CI186,CH186,CF186,CE186,CD186,CB186,CA186,BZ186,BY186,BX186,BW186,BV186,BT186,BR186,BQ186,BP186,BO186,BM186,BK186,BJ186,BI186,BG186,BD186,BB186,BA186,AY186,AV186,AU186,AT186,AS186,AR186,AQ186,AP186,AO186,AN186,AM186,AL186,AK186,AG186,AF186,AE186,AD186,AC186,AB186,AA186,Z186,Y186,X186,W186,V186,U186,T186,S186,P186,O186,M186,Table7[[#This Row],[Acyl_amino_acids]],E186,F186,G186,)</f>
        <v>0</v>
      </c>
    </row>
    <row r="187" spans="1:106" x14ac:dyDescent="0.25">
      <c r="A187" s="9" t="s">
        <v>677</v>
      </c>
      <c r="B187" s="1" t="s">
        <v>435</v>
      </c>
      <c r="C187" s="1" t="s">
        <v>238</v>
      </c>
      <c r="D187" s="1" t="s">
        <v>192</v>
      </c>
      <c r="E187" s="1" t="s">
        <v>192</v>
      </c>
      <c r="F187" s="1" t="s">
        <v>192</v>
      </c>
      <c r="G187" s="1" t="s">
        <v>192</v>
      </c>
      <c r="H187" s="1">
        <v>1</v>
      </c>
      <c r="I187" s="1" t="s">
        <v>192</v>
      </c>
      <c r="J187" s="1" t="s">
        <v>192</v>
      </c>
      <c r="K187" s="1" t="s">
        <v>192</v>
      </c>
      <c r="L187" s="1" t="s">
        <v>192</v>
      </c>
      <c r="M187" s="1" t="s">
        <v>192</v>
      </c>
      <c r="N187" s="1" t="s">
        <v>192</v>
      </c>
      <c r="O187" s="1" t="s">
        <v>192</v>
      </c>
      <c r="P187" s="1" t="s">
        <v>192</v>
      </c>
      <c r="Q187" s="1" t="s">
        <v>192</v>
      </c>
      <c r="R187" s="1" t="s">
        <v>192</v>
      </c>
      <c r="S187" s="1" t="s">
        <v>192</v>
      </c>
      <c r="T187" s="1" t="s">
        <v>192</v>
      </c>
      <c r="U187" s="1">
        <v>1</v>
      </c>
      <c r="V187" s="1" t="s">
        <v>192</v>
      </c>
      <c r="W187" s="1" t="s">
        <v>192</v>
      </c>
      <c r="X187" s="1" t="s">
        <v>192</v>
      </c>
      <c r="Y187" s="1" t="s">
        <v>192</v>
      </c>
      <c r="Z187" s="1" t="s">
        <v>192</v>
      </c>
      <c r="AA187" s="1" t="s">
        <v>192</v>
      </c>
      <c r="AB187" s="1" t="s">
        <v>192</v>
      </c>
      <c r="AC187" s="1" t="s">
        <v>192</v>
      </c>
      <c r="AD187" s="1" t="s">
        <v>192</v>
      </c>
      <c r="AE187" s="1" t="s">
        <v>192</v>
      </c>
      <c r="AF187" s="1" t="s">
        <v>192</v>
      </c>
      <c r="AG187" s="1" t="s">
        <v>192</v>
      </c>
      <c r="AH187" s="1" t="s">
        <v>192</v>
      </c>
      <c r="AI187" s="1" t="s">
        <v>192</v>
      </c>
      <c r="AJ187" s="1" t="s">
        <v>192</v>
      </c>
      <c r="AK187" s="1" t="s">
        <v>192</v>
      </c>
      <c r="AL187" s="1" t="s">
        <v>192</v>
      </c>
      <c r="AM187" s="1" t="s">
        <v>192</v>
      </c>
      <c r="AN187" s="1" t="s">
        <v>192</v>
      </c>
      <c r="AO187" s="1">
        <v>1</v>
      </c>
      <c r="AP187" s="1" t="s">
        <v>192</v>
      </c>
      <c r="AQ187" s="1">
        <v>1</v>
      </c>
      <c r="AR187" s="1" t="s">
        <v>192</v>
      </c>
      <c r="AS187" s="1" t="s">
        <v>192</v>
      </c>
      <c r="AT187" s="1" t="s">
        <v>192</v>
      </c>
      <c r="AU187" s="1" t="s">
        <v>192</v>
      </c>
      <c r="AV187" s="1" t="s">
        <v>192</v>
      </c>
      <c r="AW187" s="1">
        <v>1</v>
      </c>
      <c r="AX187" s="1" t="s">
        <v>192</v>
      </c>
      <c r="AY187" s="1" t="s">
        <v>192</v>
      </c>
      <c r="AZ187" s="1" t="s">
        <v>192</v>
      </c>
      <c r="BA187" s="1" t="s">
        <v>192</v>
      </c>
      <c r="BB187" s="1" t="s">
        <v>192</v>
      </c>
      <c r="BC187" s="1" t="s">
        <v>192</v>
      </c>
      <c r="BD187" s="1" t="s">
        <v>192</v>
      </c>
      <c r="BE187" s="1" t="s">
        <v>192</v>
      </c>
      <c r="BF187" s="1" t="s">
        <v>192</v>
      </c>
      <c r="BG187" s="1" t="s">
        <v>192</v>
      </c>
      <c r="BH187" s="1" t="s">
        <v>192</v>
      </c>
      <c r="BI187" s="1" t="s">
        <v>192</v>
      </c>
      <c r="BJ187" s="1">
        <v>1</v>
      </c>
      <c r="BK187" s="1" t="s">
        <v>192</v>
      </c>
      <c r="BL187" s="1">
        <v>1</v>
      </c>
      <c r="BM187" s="1" t="s">
        <v>192</v>
      </c>
      <c r="BN187" s="1" t="s">
        <v>192</v>
      </c>
      <c r="BO187" s="1" t="s">
        <v>192</v>
      </c>
      <c r="BP187" s="1" t="s">
        <v>192</v>
      </c>
      <c r="BQ187" s="1" t="s">
        <v>192</v>
      </c>
      <c r="BR187" s="1" t="s">
        <v>192</v>
      </c>
      <c r="BS187" s="1">
        <v>3</v>
      </c>
      <c r="BT187" s="1" t="s">
        <v>192</v>
      </c>
      <c r="BU187" s="1" t="s">
        <v>192</v>
      </c>
      <c r="BV187" s="1" t="s">
        <v>192</v>
      </c>
      <c r="BW187" s="1" t="s">
        <v>192</v>
      </c>
      <c r="BX187" s="1" t="s">
        <v>192</v>
      </c>
      <c r="BY187" s="1" t="s">
        <v>192</v>
      </c>
      <c r="BZ187" s="1" t="s">
        <v>192</v>
      </c>
      <c r="CA187" s="1" t="s">
        <v>192</v>
      </c>
      <c r="CB187" s="1" t="s">
        <v>192</v>
      </c>
      <c r="CC187" s="1" t="s">
        <v>192</v>
      </c>
      <c r="CD187" s="1" t="s">
        <v>192</v>
      </c>
      <c r="CE187" s="1" t="s">
        <v>192</v>
      </c>
      <c r="CF187" s="1">
        <v>1</v>
      </c>
      <c r="CG187" s="1">
        <v>3</v>
      </c>
      <c r="CH187" s="1" t="s">
        <v>192</v>
      </c>
      <c r="CI187" s="1" t="s">
        <v>192</v>
      </c>
      <c r="CJ187" s="1" t="s">
        <v>192</v>
      </c>
      <c r="CK187" s="1" t="s">
        <v>192</v>
      </c>
      <c r="CL187" s="1" t="s">
        <v>192</v>
      </c>
      <c r="CM187" s="1" t="s">
        <v>192</v>
      </c>
      <c r="CN187" s="1" t="s">
        <v>192</v>
      </c>
      <c r="CO187" s="1" t="s">
        <v>192</v>
      </c>
      <c r="CP187" s="1" t="s">
        <v>192</v>
      </c>
      <c r="CQ187" s="1" t="s">
        <v>192</v>
      </c>
      <c r="CR187" s="1" t="s">
        <v>192</v>
      </c>
      <c r="CS187" s="1" t="s">
        <v>192</v>
      </c>
      <c r="CT187" s="1">
        <f>SUM(Table7[[#This Row],[Acyl_amino_acids]:[T3PKS]])</f>
        <v>14</v>
      </c>
      <c r="CU187" s="1" t="s">
        <v>453</v>
      </c>
      <c r="CW187" s="1">
        <f>Table7[[#This Row],[NRPS]]</f>
        <v>1</v>
      </c>
      <c r="CX187" s="1">
        <f>SUM(CP187,CR187,CS187,Table7[[#This Row],[T1PKS, T3PKS]])</f>
        <v>0</v>
      </c>
      <c r="CY187" s="1">
        <f t="shared" si="2"/>
        <v>3</v>
      </c>
      <c r="CZ187" s="1">
        <f>Table7[[#This Row],[Terpene]]</f>
        <v>3</v>
      </c>
      <c r="DA187" s="1">
        <f>SUM(Table7[[#This Row],[Thiopeptide]],BH187,BF187,BE187,BC187,AZ187,AX187,AW187,AJ187,AH187,N187,L187,J187,H187,I187,K187,R187,Q187,Table7[[#This Row],[Cyanobactin, LAP]])</f>
        <v>2</v>
      </c>
      <c r="DB187" s="1">
        <f>SUM(CO187,CN187,CL187,CK187,CJ187,CI187,CH187,CF187,CE187,CD187,CB187,CA187,BZ187,BY187,BX187,BW187,BV187,BT187,BR187,BQ187,BP187,BO187,BM187,BK187,BJ187,BI187,BG187,BD187,BB187,BA187,AY187,AV187,AU187,AT187,AS187,AR187,AQ187,AP187,AO187,AN187,AM187,AL187,AK187,AG187,AF187,AE187,AD187,AC187,AB187,AA187,Z187,Y187,X187,W187,V187,U187,T187,S187,P187,O187,M187,Table7[[#This Row],[Acyl_amino_acids]],E187,F187,G187,)</f>
        <v>5</v>
      </c>
    </row>
    <row r="188" spans="1:106" x14ac:dyDescent="0.25">
      <c r="A188" s="9" t="s">
        <v>779</v>
      </c>
      <c r="B188" s="1" t="s">
        <v>435</v>
      </c>
      <c r="C188" s="1" t="s">
        <v>234</v>
      </c>
      <c r="D188" s="3" t="s">
        <v>192</v>
      </c>
      <c r="E188" s="3" t="s">
        <v>192</v>
      </c>
      <c r="F188" s="3" t="s">
        <v>192</v>
      </c>
      <c r="G188" s="3" t="s">
        <v>192</v>
      </c>
      <c r="H188" s="3">
        <v>1</v>
      </c>
      <c r="I188" s="3" t="s">
        <v>192</v>
      </c>
      <c r="J188" s="3" t="s">
        <v>192</v>
      </c>
      <c r="K188" s="3" t="s">
        <v>192</v>
      </c>
      <c r="L188" s="3">
        <v>1</v>
      </c>
      <c r="M188" s="3" t="s">
        <v>192</v>
      </c>
      <c r="N188" s="3" t="s">
        <v>192</v>
      </c>
      <c r="O188" s="3" t="s">
        <v>192</v>
      </c>
      <c r="P188" s="3" t="s">
        <v>192</v>
      </c>
      <c r="Q188" s="3" t="s">
        <v>192</v>
      </c>
      <c r="R188" s="3" t="s">
        <v>192</v>
      </c>
      <c r="S188" s="3" t="s">
        <v>192</v>
      </c>
      <c r="T188" s="3" t="s">
        <v>192</v>
      </c>
      <c r="U188" s="3" t="s">
        <v>192</v>
      </c>
      <c r="V188" s="3" t="s">
        <v>192</v>
      </c>
      <c r="W188" s="3" t="s">
        <v>192</v>
      </c>
      <c r="X188" s="3" t="s">
        <v>192</v>
      </c>
      <c r="Y188" s="3" t="s">
        <v>192</v>
      </c>
      <c r="Z188" s="3" t="s">
        <v>192</v>
      </c>
      <c r="AA188" s="3" t="s">
        <v>192</v>
      </c>
      <c r="AB188" s="3" t="s">
        <v>192</v>
      </c>
      <c r="AC188" s="3" t="s">
        <v>192</v>
      </c>
      <c r="AD188" s="3" t="s">
        <v>192</v>
      </c>
      <c r="AE188" s="3" t="s">
        <v>192</v>
      </c>
      <c r="AF188" s="3" t="s">
        <v>192</v>
      </c>
      <c r="AG188" s="3" t="s">
        <v>192</v>
      </c>
      <c r="AH188" s="3" t="s">
        <v>192</v>
      </c>
      <c r="AI188" s="3" t="s">
        <v>192</v>
      </c>
      <c r="AJ188" s="3" t="s">
        <v>192</v>
      </c>
      <c r="AK188" s="3" t="s">
        <v>192</v>
      </c>
      <c r="AL188" s="3" t="s">
        <v>192</v>
      </c>
      <c r="AM188" s="3" t="s">
        <v>192</v>
      </c>
      <c r="AN188" s="3" t="s">
        <v>192</v>
      </c>
      <c r="AO188" s="3">
        <v>1</v>
      </c>
      <c r="AP188" s="3" t="s">
        <v>192</v>
      </c>
      <c r="AQ188" s="3">
        <v>1</v>
      </c>
      <c r="AR188" s="3" t="s">
        <v>192</v>
      </c>
      <c r="AS188" s="3" t="s">
        <v>192</v>
      </c>
      <c r="AT188" s="3" t="s">
        <v>192</v>
      </c>
      <c r="AU188" s="3" t="s">
        <v>192</v>
      </c>
      <c r="AV188" s="3" t="s">
        <v>192</v>
      </c>
      <c r="AW188" s="3">
        <v>1</v>
      </c>
      <c r="AX188" s="3" t="s">
        <v>192</v>
      </c>
      <c r="AY188" s="3" t="s">
        <v>192</v>
      </c>
      <c r="AZ188" s="3" t="s">
        <v>192</v>
      </c>
      <c r="BA188" s="3" t="s">
        <v>192</v>
      </c>
      <c r="BB188" s="3" t="s">
        <v>192</v>
      </c>
      <c r="BC188" s="3" t="s">
        <v>192</v>
      </c>
      <c r="BD188" s="3" t="s">
        <v>192</v>
      </c>
      <c r="BE188" s="3" t="s">
        <v>192</v>
      </c>
      <c r="BF188" s="3" t="s">
        <v>192</v>
      </c>
      <c r="BG188" s="3" t="s">
        <v>192</v>
      </c>
      <c r="BH188" s="3" t="s">
        <v>192</v>
      </c>
      <c r="BI188" s="3" t="s">
        <v>192</v>
      </c>
      <c r="BJ188" s="3" t="s">
        <v>192</v>
      </c>
      <c r="BK188" s="3" t="s">
        <v>192</v>
      </c>
      <c r="BL188" s="3">
        <v>1</v>
      </c>
      <c r="BM188" s="3" t="s">
        <v>192</v>
      </c>
      <c r="BN188" s="3" t="s">
        <v>192</v>
      </c>
      <c r="BO188" s="3" t="s">
        <v>192</v>
      </c>
      <c r="BP188" s="3" t="s">
        <v>192</v>
      </c>
      <c r="BQ188" s="3" t="s">
        <v>192</v>
      </c>
      <c r="BR188" s="3" t="s">
        <v>192</v>
      </c>
      <c r="BS188" s="3">
        <v>2</v>
      </c>
      <c r="BT188" s="3" t="s">
        <v>192</v>
      </c>
      <c r="BU188" s="3" t="s">
        <v>192</v>
      </c>
      <c r="BV188" s="3" t="s">
        <v>192</v>
      </c>
      <c r="BW188" s="3" t="s">
        <v>192</v>
      </c>
      <c r="BX188" s="3" t="s">
        <v>192</v>
      </c>
      <c r="BY188" s="3" t="s">
        <v>192</v>
      </c>
      <c r="BZ188" s="3" t="s">
        <v>192</v>
      </c>
      <c r="CA188" s="3" t="s">
        <v>192</v>
      </c>
      <c r="CB188" s="3" t="s">
        <v>192</v>
      </c>
      <c r="CC188" s="3" t="s">
        <v>192</v>
      </c>
      <c r="CD188" s="3" t="s">
        <v>192</v>
      </c>
      <c r="CE188" s="3" t="s">
        <v>192</v>
      </c>
      <c r="CF188" s="3">
        <v>1</v>
      </c>
      <c r="CG188" s="3">
        <v>4</v>
      </c>
      <c r="CH188" s="3" t="s">
        <v>192</v>
      </c>
      <c r="CI188" s="3" t="s">
        <v>192</v>
      </c>
      <c r="CJ188" s="3" t="s">
        <v>192</v>
      </c>
      <c r="CK188" s="3" t="s">
        <v>192</v>
      </c>
      <c r="CL188" s="3" t="s">
        <v>192</v>
      </c>
      <c r="CM188" s="3" t="s">
        <v>192</v>
      </c>
      <c r="CN188" s="3" t="s">
        <v>192</v>
      </c>
      <c r="CO188" s="3" t="s">
        <v>192</v>
      </c>
      <c r="CP188" s="3" t="s">
        <v>192</v>
      </c>
      <c r="CQ188" s="3" t="s">
        <v>192</v>
      </c>
      <c r="CR188" s="3" t="s">
        <v>192</v>
      </c>
      <c r="CS188" s="3" t="s">
        <v>192</v>
      </c>
      <c r="CT188" s="1">
        <f>SUM(Table7[[#This Row],[Acyl_amino_acids]:[T3PKS]])</f>
        <v>13</v>
      </c>
      <c r="CU188" s="3" t="s">
        <v>196</v>
      </c>
      <c r="CW188" s="1">
        <f>Table7[[#This Row],[NRPS]]</f>
        <v>1</v>
      </c>
      <c r="CX188" s="1">
        <f>SUM(CP188,CR188,CS188,Table7[[#This Row],[T1PKS, T3PKS]])</f>
        <v>0</v>
      </c>
      <c r="CY188" s="1">
        <f t="shared" si="2"/>
        <v>2</v>
      </c>
      <c r="CZ188" s="1">
        <f>Table7[[#This Row],[Terpene]]</f>
        <v>4</v>
      </c>
      <c r="DA188" s="1">
        <f>SUM(Table7[[#This Row],[Thiopeptide]],BH188,BF188,BE188,BC188,AZ188,AX188,AW188,AJ188,AH188,N188,L188,J188,H188,I188,K188,R188,Q188,Table7[[#This Row],[Cyanobactin, LAP]])</f>
        <v>3</v>
      </c>
      <c r="DB188" s="1">
        <f>SUM(CO188,CN188,CL188,CK188,CJ188,CI188,CH188,CF188,CE188,CD188,CB188,CA188,BZ188,BY188,BX188,BW188,BV188,BT188,BR188,BQ188,BP188,BO188,BM188,BK188,BJ188,BI188,BG188,BD188,BB188,BA188,AY188,AV188,AU188,AT188,AS188,AR188,AQ188,AP188,AO188,AN188,AM188,AL188,AK188,AG188,AF188,AE188,AD188,AC188,AB188,AA188,Z188,Y188,X188,W188,V188,U188,T188,S188,P188,O188,M188,Table7[[#This Row],[Acyl_amino_acids]],E188,F188,G188,)</f>
        <v>3</v>
      </c>
    </row>
    <row r="189" spans="1:106" x14ac:dyDescent="0.25">
      <c r="A189" s="26" t="s">
        <v>810</v>
      </c>
      <c r="B189" s="26"/>
      <c r="C189" s="26"/>
      <c r="D189" s="26">
        <f>SUM(Table7[Acyl_amino_acids])</f>
        <v>1</v>
      </c>
      <c r="E189" s="26">
        <f>SUM(Table7[Amglyccycl])</f>
        <v>1</v>
      </c>
      <c r="F189" s="26">
        <f>SUM(Table7[Arypolyene])</f>
        <v>6</v>
      </c>
      <c r="G189" s="26">
        <f>SUM(Table7[Arypolyene, NRPS])</f>
        <v>1</v>
      </c>
      <c r="H189" s="26">
        <f>SUM(Table7[Bacteriocin])</f>
        <v>334</v>
      </c>
      <c r="I189" s="26">
        <f>SUM(Table7[Bacteriocin, cyanobactin])</f>
        <v>2</v>
      </c>
      <c r="J189" s="26">
        <f>SUM(Table7[Bacteriocin, cyanobactin, LAP])</f>
        <v>9</v>
      </c>
      <c r="K189" s="26">
        <f>SUM(Table7[Bacteriocin, cyanobactin, LAP, thiopeptide])</f>
        <v>2</v>
      </c>
      <c r="L189" s="26">
        <f>SUM(Table7[Bacteriocin, lanthipeptide])</f>
        <v>26</v>
      </c>
      <c r="M189" s="26">
        <f>SUM(Table7[Bacteriocin, lanthipeptide, NRPS])</f>
        <v>1</v>
      </c>
      <c r="N189" s="26">
        <f>SUM(Table7[Bacteriocin, LAP])</f>
        <v>1</v>
      </c>
      <c r="O189" s="26">
        <f>SUM(Table7[Bacteriocin, LAP, NRPS, PKS-like, transAT-PKS, T1PKS, T3PKS])</f>
        <v>1</v>
      </c>
      <c r="P189" s="26">
        <f>SUM(Table7[Bacteriocin, LAP, NRPS, T1PKS])</f>
        <v>2</v>
      </c>
      <c r="Q189" s="26">
        <f>SUM(Table7[Bacteriocin, lassopeptide])</f>
        <v>1</v>
      </c>
      <c r="R189" s="26">
        <f>SUM(Table7[Bacteriocin, microviridin])</f>
        <v>1</v>
      </c>
      <c r="S189" s="26">
        <f>SUM(Table7[Bacteriocin, NRPS])</f>
        <v>7</v>
      </c>
      <c r="T189" s="26">
        <f>SUM(Table7[Bacteriocin, NRPS, T1PKS])</f>
        <v>2</v>
      </c>
      <c r="U189" s="26">
        <f>SUM(Table7[Bacteriosin, Proteosin])</f>
        <v>2</v>
      </c>
      <c r="V189" s="26">
        <f>SUM(Table7[Bacteriocin, terpene])</f>
        <v>15</v>
      </c>
      <c r="W189" s="26">
        <f>SUM(Table7[Bacteriocin, TfuA-related])</f>
        <v>1</v>
      </c>
      <c r="X189" s="26">
        <f>SUM(Table7[Bacteriocin, T3PKS])</f>
        <v>2</v>
      </c>
      <c r="Y189" s="26">
        <f>SUM(Table7[Betalactone])</f>
        <v>4</v>
      </c>
      <c r="Z189" s="26">
        <f>SUM(Table7[Betalactone, hglE-KS, microviridin, NRPS, T1PKS])</f>
        <v>1</v>
      </c>
      <c r="AA189" s="26">
        <f>SUM(Table7[Betalactone, microviridin, NRPS])</f>
        <v>5</v>
      </c>
      <c r="AB189" s="26">
        <f>SUM(Table7[Betalactone, NRPS])</f>
        <v>8</v>
      </c>
      <c r="AC189" s="26">
        <f>SUM(Table7[Betalactone, NRPS, T1PKS])</f>
        <v>2</v>
      </c>
      <c r="AD189" s="26">
        <f>SUM(Table7[Butyrolactone])</f>
        <v>1</v>
      </c>
      <c r="AE189" s="26">
        <f>SUM(Table7[Butyrolactone, hglE-KS, T1PKS])</f>
        <v>1</v>
      </c>
      <c r="AF189" s="26">
        <f>SUM(Table7[CDPS])</f>
        <v>2</v>
      </c>
      <c r="AG189" s="26">
        <f>SUM(Table7[CDPS, NRPS, T1PKS])</f>
        <v>3</v>
      </c>
      <c r="AH189" s="26">
        <f>SUM(Table7[Cyanobactin])</f>
        <v>25</v>
      </c>
      <c r="AI189" s="26">
        <f>SUM(Table7[Cyanobactin, LAP])</f>
        <v>1</v>
      </c>
      <c r="AJ189" s="26">
        <f>SUM(Table7[Cyanobactin, lassopeptide])</f>
        <v>1</v>
      </c>
      <c r="AK189" s="26">
        <f>SUM(Table7[Ectoine])</f>
        <v>2</v>
      </c>
      <c r="AL189" s="26">
        <f>SUM(Table7[hglE-KS])</f>
        <v>18</v>
      </c>
      <c r="AM189" s="26">
        <f>SUM(Table7[hglE-KS, NRPS, resorcinol])</f>
        <v>2</v>
      </c>
      <c r="AN189" s="26">
        <f>SUM(Table7[hglE-KS, resorcinol])</f>
        <v>2</v>
      </c>
      <c r="AO189" s="26">
        <f>SUM(Table7[hglE-KS, NRPS, T1PKS])</f>
        <v>11</v>
      </c>
      <c r="AP189" s="26">
        <f>SUM(Table7[hglE-KS, NRPS, T1PKS, T3PKS])</f>
        <v>2</v>
      </c>
      <c r="AQ189" s="26">
        <f>SUM(Table7[hglE-KS,T1PKS])</f>
        <v>57</v>
      </c>
      <c r="AR189" s="26">
        <f>SUM(Table7[hglE-KS, transAT-PKS, T1PKS])</f>
        <v>1</v>
      </c>
      <c r="AS189" s="26">
        <f>SUM(Table7[Hserlactoine])</f>
        <v>4</v>
      </c>
      <c r="AT189" s="26">
        <f>SUM(Table7[Indole])</f>
        <v>14</v>
      </c>
      <c r="AU189" s="26">
        <f>SUM(Table7[Indole, NRPS])</f>
        <v>1</v>
      </c>
      <c r="AV189" s="26">
        <f>SUM(Table7[Indole, NRPS, T1PKS])</f>
        <v>1</v>
      </c>
      <c r="AW189" s="26">
        <f>SUM(Table7[Ladderane])</f>
        <v>19</v>
      </c>
      <c r="AX189" s="26">
        <f>SUM(Table7[Ladderane, lassopeptide])</f>
        <v>1</v>
      </c>
      <c r="AY189" s="26">
        <f>SUM(Table7[Ladderane, NRPS, T1PKS])</f>
        <v>1</v>
      </c>
      <c r="AZ189" s="26">
        <f>SUM(Table7[Lanthipeptide])</f>
        <v>24</v>
      </c>
      <c r="BA189" s="26">
        <f>SUM(Table7[Lanthipeptide, NRPS, PKS])</f>
        <v>1</v>
      </c>
      <c r="BB189" s="26">
        <f>SUM(Table7[Lanthipeptide, PKS, TPKS, T3PKS])</f>
        <v>1</v>
      </c>
      <c r="BC189" s="26">
        <f>SUM(Table7[LAP])</f>
        <v>8</v>
      </c>
      <c r="BD189" s="26">
        <f>SUM(Table7[LAP. NRPS])</f>
        <v>3</v>
      </c>
      <c r="BE189" s="26">
        <f>SUM(Table7[LAP, thiopeptide])</f>
        <v>3</v>
      </c>
      <c r="BF189" s="26">
        <f>SUM(Table7[Lassopeptide])</f>
        <v>30</v>
      </c>
      <c r="BG189" s="26">
        <f>SUM(Table7[Lassopeptide, NRPS])</f>
        <v>1</v>
      </c>
      <c r="BH189" s="26">
        <f>SUM(Table7[Microviridin])</f>
        <v>34</v>
      </c>
      <c r="BI189" s="26">
        <f>SUM(Table7[Microviridin, NRPS])</f>
        <v>10</v>
      </c>
      <c r="BJ189" s="26">
        <f>SUM(Table7[Microviridin, NRPS, T1PKS])</f>
        <v>4</v>
      </c>
      <c r="BK189" s="26">
        <f>SUM(Table7[Microviridin, terpene])</f>
        <v>1</v>
      </c>
      <c r="BL189" s="26">
        <f>SUM(Table7[NRPS])</f>
        <v>264</v>
      </c>
      <c r="BM189" s="26">
        <f>SUM(Table7[NRPS, phosphonate])</f>
        <v>1</v>
      </c>
      <c r="BN189" s="26">
        <f>SUM(Table7[NRPS, PKS-like, T1PKS, T3PKS])</f>
        <v>3</v>
      </c>
      <c r="BO189" s="26">
        <f>SUM(Table7[NRPS, resorcinol])</f>
        <v>1</v>
      </c>
      <c r="BP189" s="26">
        <f>SUM(Table7[NRPS, terpene])</f>
        <v>5</v>
      </c>
      <c r="BQ189" s="26">
        <f>SUM(Table7[NRPS, terpene, T1PKS])</f>
        <v>2</v>
      </c>
      <c r="BR189" s="26">
        <f>SUM(Table7[NRPS, thiopeptide, T1PKS])</f>
        <v>1</v>
      </c>
      <c r="BS189" s="26">
        <f>SUM(Table7[NRPS, T1PKS])</f>
        <v>143</v>
      </c>
      <c r="BT189" s="26">
        <f>SUM(Table7[NRPS, terpen, TfuA-related, thipeptide, T1PKS])</f>
        <v>1</v>
      </c>
      <c r="BU189" s="26">
        <f>SUM(Table7[NRPS, T1PKS, T3PKS])</f>
        <v>2</v>
      </c>
      <c r="BV189" s="26">
        <f>SUM(Table7[Oligosaccharide])</f>
        <v>2</v>
      </c>
      <c r="BW189" s="26">
        <f>SUM(Table7[Oligosaccharide, other])</f>
        <v>1</v>
      </c>
      <c r="BX189" s="26">
        <f>SUM(Table7[Oligosaccharide, terpene])</f>
        <v>1</v>
      </c>
      <c r="BY189" s="26">
        <f>SUM(Table7[Other])</f>
        <v>2</v>
      </c>
      <c r="BZ189" s="26">
        <f>SUM(Table7[Phenazine])</f>
        <v>3</v>
      </c>
      <c r="CA189" s="26">
        <f>SUM(Table7[Phosphonate])</f>
        <v>7</v>
      </c>
      <c r="CB189" s="26">
        <f>SUM(Table7[Phosphonate, terpene])</f>
        <v>2</v>
      </c>
      <c r="CC189" s="26">
        <f>SUM(Table7[PKS-like, T1PKS, T3PKS])</f>
        <v>1</v>
      </c>
      <c r="CD189" s="26">
        <f>SUM(Table7[Proteusin])</f>
        <v>1</v>
      </c>
      <c r="CE189" s="26">
        <f>SUM(Table7[Resorcinol])</f>
        <v>1</v>
      </c>
      <c r="CF189" s="26">
        <f>SUM(Table7[Siderophore])</f>
        <v>10</v>
      </c>
      <c r="CG189" s="26">
        <f>SUM(Table7[Terpene])</f>
        <v>470</v>
      </c>
      <c r="CH189" s="26">
        <f>SUM(Table7[Terpene, Thiopeptide])</f>
        <v>1</v>
      </c>
      <c r="CI189" s="26">
        <f>SUM(Table7[Terpene, T1PKS])</f>
        <v>5</v>
      </c>
      <c r="CJ189" s="26">
        <f>SUM(Table7[Terpene, T3PKS])</f>
        <v>1</v>
      </c>
      <c r="CK189" s="26">
        <f>SUM(Table7[TfuA-related])</f>
        <v>2</v>
      </c>
      <c r="CL189" s="26">
        <f>SUM(Table7[TfuA-related, Thiopeptide])</f>
        <v>2</v>
      </c>
      <c r="CM189" s="26">
        <f>SUM(Table7[Thiopeptide])</f>
        <v>4</v>
      </c>
      <c r="CN189" s="26">
        <f>SUM(Table7[transAT-PKS])</f>
        <v>1</v>
      </c>
      <c r="CO189" s="26">
        <f>SUM(Table7[transAT-PKS, T1PKS])</f>
        <v>1</v>
      </c>
      <c r="CP189" s="26">
        <f>SUM(Table7[T1PKS])</f>
        <v>25</v>
      </c>
      <c r="CQ189" s="26">
        <f>SUM(Table7[T1PKS, T3PKS])</f>
        <v>4</v>
      </c>
      <c r="CR189" s="26">
        <f>SUM(Table7[T2PKS])</f>
        <v>1</v>
      </c>
      <c r="CS189" s="26">
        <f>SUM(Table7[T3PKS])</f>
        <v>19</v>
      </c>
      <c r="CT189" s="26">
        <f>SUM(Table7[Total BGCs])</f>
        <v>1719</v>
      </c>
      <c r="CU189" s="26">
        <f>SUM(Tabela2[Others])</f>
        <v>261</v>
      </c>
      <c r="CW189" s="26">
        <f>SUM(Tabela2[NRPS])</f>
        <v>264</v>
      </c>
      <c r="CX189" s="26">
        <f>SUM(Tabela2[PKS])</f>
        <v>49</v>
      </c>
      <c r="CY189" s="26">
        <f>SUM(Tabela2[NRPS/PKS])</f>
        <v>148</v>
      </c>
      <c r="CZ189" s="26">
        <f>SUM(Tabela2[Terpene])</f>
        <v>470</v>
      </c>
      <c r="DA189" s="26">
        <f>SUM(Tabela2[RIPPs])</f>
        <v>526</v>
      </c>
      <c r="DB189" s="26">
        <f>SUM(Tabela2[Others])</f>
        <v>261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A622F-01B6-0549-9E07-5438832E294B}">
  <dimension ref="A1:AO75"/>
  <sheetViews>
    <sheetView tabSelected="1" topLeftCell="A13" zoomScale="60" zoomScaleNormal="60" workbookViewId="0">
      <selection activeCell="C51" sqref="C51"/>
    </sheetView>
  </sheetViews>
  <sheetFormatPr defaultColWidth="11" defaultRowHeight="15.75" x14ac:dyDescent="0.25"/>
  <cols>
    <col min="1" max="1" width="44.5" style="17" bestFit="1" customWidth="1"/>
    <col min="2" max="2" width="17.375" bestFit="1" customWidth="1"/>
    <col min="3" max="3" width="22.5" customWidth="1"/>
    <col min="4" max="4" width="20.625" style="6" bestFit="1" customWidth="1"/>
    <col min="5" max="5" width="16.625" style="6" bestFit="1" customWidth="1"/>
    <col min="6" max="6" width="30.125" bestFit="1" customWidth="1"/>
    <col min="7" max="7" width="28.625" bestFit="1" customWidth="1"/>
    <col min="8" max="8" width="34.125" style="6" bestFit="1" customWidth="1"/>
    <col min="9" max="9" width="28.875" style="6" bestFit="1" customWidth="1"/>
    <col min="10" max="10" width="28.375" style="6" bestFit="1" customWidth="1"/>
    <col min="11" max="11" width="17.375" style="6" bestFit="1" customWidth="1"/>
    <col min="12" max="12" width="21.625" style="6" bestFit="1" customWidth="1"/>
    <col min="13" max="13" width="13.375" bestFit="1" customWidth="1"/>
    <col min="14" max="14" width="34.5" bestFit="1" customWidth="1"/>
    <col min="15" max="15" width="12.375" bestFit="1" customWidth="1"/>
    <col min="16" max="16" width="19" bestFit="1" customWidth="1"/>
    <col min="17" max="17" width="10.125" bestFit="1" customWidth="1"/>
    <col min="18" max="18" width="18.125" bestFit="1" customWidth="1"/>
    <col min="19" max="19" width="17.5" bestFit="1" customWidth="1"/>
    <col min="20" max="20" width="29.5" bestFit="1" customWidth="1"/>
    <col min="21" max="21" width="11.375" bestFit="1" customWidth="1"/>
    <col min="22" max="22" width="19.125" customWidth="1"/>
    <col min="23" max="23" width="32.5" customWidth="1"/>
    <col min="24" max="24" width="17.375" bestFit="1" customWidth="1"/>
    <col min="25" max="25" width="16.5" bestFit="1" customWidth="1"/>
    <col min="26" max="26" width="15.875" bestFit="1" customWidth="1"/>
    <col min="27" max="27" width="17.5" bestFit="1" customWidth="1"/>
    <col min="28" max="28" width="14" bestFit="1" customWidth="1"/>
    <col min="29" max="29" width="26.875" bestFit="1" customWidth="1"/>
    <col min="30" max="30" width="17.375" bestFit="1" customWidth="1"/>
    <col min="31" max="31" width="12" bestFit="1" customWidth="1"/>
    <col min="32" max="32" width="15.625" style="41" bestFit="1" customWidth="1"/>
    <col min="33" max="33" width="15.5" bestFit="1" customWidth="1"/>
    <col min="34" max="34" width="15.5" customWidth="1"/>
    <col min="36" max="36" width="11.25" bestFit="1" customWidth="1"/>
    <col min="37" max="37" width="10" bestFit="1" customWidth="1"/>
    <col min="38" max="38" width="15.125" bestFit="1" customWidth="1"/>
    <col min="39" max="39" width="13.875" bestFit="1" customWidth="1"/>
    <col min="40" max="40" width="11.375" bestFit="1" customWidth="1"/>
    <col min="41" max="41" width="12.5" bestFit="1" customWidth="1"/>
  </cols>
  <sheetData>
    <row r="1" spans="1:41" x14ac:dyDescent="0.25">
      <c r="A1" s="2" t="s">
        <v>923</v>
      </c>
      <c r="B1" s="2" t="s">
        <v>930</v>
      </c>
      <c r="C1" s="2" t="s">
        <v>190</v>
      </c>
      <c r="D1" s="13" t="s">
        <v>415</v>
      </c>
      <c r="E1" s="13" t="s">
        <v>437</v>
      </c>
      <c r="F1" s="13" t="s">
        <v>481</v>
      </c>
      <c r="G1" s="13" t="s">
        <v>496</v>
      </c>
      <c r="H1" s="13" t="s">
        <v>567</v>
      </c>
      <c r="I1" s="13" t="s">
        <v>493</v>
      </c>
      <c r="J1" s="13" t="s">
        <v>606</v>
      </c>
      <c r="K1" s="13" t="s">
        <v>438</v>
      </c>
      <c r="L1" s="13" t="s">
        <v>491</v>
      </c>
      <c r="M1" s="13" t="s">
        <v>267</v>
      </c>
      <c r="N1" s="13" t="s">
        <v>583</v>
      </c>
      <c r="O1" s="13" t="s">
        <v>229</v>
      </c>
      <c r="P1" s="13" t="s">
        <v>450</v>
      </c>
      <c r="Q1" s="13" t="s">
        <v>489</v>
      </c>
      <c r="R1" s="13" t="s">
        <v>189</v>
      </c>
      <c r="S1" s="2" t="s">
        <v>439</v>
      </c>
      <c r="T1" s="2" t="s">
        <v>469</v>
      </c>
      <c r="U1" s="2" t="s">
        <v>440</v>
      </c>
      <c r="V1" s="2" t="s">
        <v>515</v>
      </c>
      <c r="W1" s="2" t="s">
        <v>518</v>
      </c>
      <c r="X1" s="2" t="s">
        <v>475</v>
      </c>
      <c r="Y1" s="2" t="s">
        <v>490</v>
      </c>
      <c r="Z1" s="2" t="s">
        <v>442</v>
      </c>
      <c r="AA1" s="2" t="s">
        <v>235</v>
      </c>
      <c r="AB1" s="2" t="s">
        <v>443</v>
      </c>
      <c r="AC1" s="2" t="s">
        <v>563</v>
      </c>
      <c r="AD1" s="2" t="s">
        <v>216</v>
      </c>
      <c r="AE1" s="2" t="s">
        <v>487</v>
      </c>
      <c r="AF1" s="38" t="s">
        <v>485</v>
      </c>
      <c r="AG1" s="2" t="s">
        <v>194</v>
      </c>
      <c r="AH1" s="36"/>
      <c r="AJ1" s="24" t="s">
        <v>440</v>
      </c>
      <c r="AK1" s="24" t="s">
        <v>806</v>
      </c>
      <c r="AL1" s="24" t="s">
        <v>807</v>
      </c>
      <c r="AM1" s="24" t="s">
        <v>443</v>
      </c>
      <c r="AN1" s="24" t="s">
        <v>808</v>
      </c>
      <c r="AO1" s="24" t="s">
        <v>809</v>
      </c>
    </row>
    <row r="2" spans="1:41" x14ac:dyDescent="0.25">
      <c r="A2" s="9" t="s">
        <v>629</v>
      </c>
      <c r="B2" s="2" t="s">
        <v>200</v>
      </c>
      <c r="C2" s="2" t="s">
        <v>829</v>
      </c>
      <c r="D2" s="27">
        <v>374161</v>
      </c>
      <c r="E2" s="5" t="s">
        <v>192</v>
      </c>
      <c r="F2" s="5" t="s">
        <v>192</v>
      </c>
      <c r="G2" s="5" t="s">
        <v>192</v>
      </c>
      <c r="H2" s="5" t="s">
        <v>192</v>
      </c>
      <c r="I2" s="5" t="s">
        <v>192</v>
      </c>
      <c r="J2" s="5" t="s">
        <v>192</v>
      </c>
      <c r="K2" s="5" t="s">
        <v>192</v>
      </c>
      <c r="L2" s="5" t="s">
        <v>192</v>
      </c>
      <c r="M2" s="5" t="s">
        <v>192</v>
      </c>
      <c r="N2" s="5" t="s">
        <v>192</v>
      </c>
      <c r="O2" s="5" t="s">
        <v>192</v>
      </c>
      <c r="P2" s="5" t="s">
        <v>192</v>
      </c>
      <c r="Q2" s="5" t="s">
        <v>192</v>
      </c>
      <c r="R2" s="5" t="s">
        <v>192</v>
      </c>
      <c r="S2" s="2" t="s">
        <v>192</v>
      </c>
      <c r="T2" s="2" t="s">
        <v>192</v>
      </c>
      <c r="U2" s="2" t="s">
        <v>192</v>
      </c>
      <c r="V2" s="2" t="s">
        <v>192</v>
      </c>
      <c r="W2" s="2" t="s">
        <v>192</v>
      </c>
      <c r="X2" s="2">
        <v>1</v>
      </c>
      <c r="Y2" s="2" t="s">
        <v>192</v>
      </c>
      <c r="Z2" s="2" t="s">
        <v>192</v>
      </c>
      <c r="AA2" s="2" t="s">
        <v>192</v>
      </c>
      <c r="AB2" s="2" t="s">
        <v>192</v>
      </c>
      <c r="AC2" s="2" t="s">
        <v>192</v>
      </c>
      <c r="AD2" s="2" t="s">
        <v>192</v>
      </c>
      <c r="AE2" s="2" t="s">
        <v>192</v>
      </c>
      <c r="AF2" s="38">
        <f>SUM(Table4[[#This Row],[Bacteriocin]:[T1PKS]])</f>
        <v>1</v>
      </c>
      <c r="AG2" s="2" t="s">
        <v>192</v>
      </c>
      <c r="AH2" s="36"/>
      <c r="AJ2" s="1" t="str">
        <f>Table4[[#This Row],[NRPS]]</f>
        <v>-</v>
      </c>
      <c r="AK2" s="1" t="str">
        <f>Table4[[#This Row],[T1PKS]]</f>
        <v>-</v>
      </c>
      <c r="AL2" s="1">
        <f>Table4[[#This Row],[NRPS, T1PKS]]</f>
        <v>1</v>
      </c>
      <c r="AM2" s="1" t="str">
        <f>Table4[[#This Row],[Terpene]]</f>
        <v>-</v>
      </c>
      <c r="AN2" s="25">
        <f t="shared" ref="AN2:AN33" si="0">SUM(AD2,S2,R2,Q2,P2,K2,L2,G2,F2,E2)</f>
        <v>0</v>
      </c>
      <c r="AO2" s="25">
        <f t="shared" ref="AO2:AO33" si="1">SUM(AC2,AA2,Z2,Y2,W2,V2,T2,O2,N2,M2,J2,I2,H2)</f>
        <v>0</v>
      </c>
    </row>
    <row r="3" spans="1:41" x14ac:dyDescent="0.25">
      <c r="A3" s="9" t="s">
        <v>629</v>
      </c>
      <c r="B3" s="2" t="s">
        <v>199</v>
      </c>
      <c r="C3" s="2" t="s">
        <v>830</v>
      </c>
      <c r="D3" s="27">
        <v>356087</v>
      </c>
      <c r="E3" s="5" t="s">
        <v>192</v>
      </c>
      <c r="F3" s="5" t="s">
        <v>192</v>
      </c>
      <c r="G3" s="5" t="s">
        <v>192</v>
      </c>
      <c r="H3" s="5" t="s">
        <v>192</v>
      </c>
      <c r="I3" s="5" t="s">
        <v>192</v>
      </c>
      <c r="J3" s="5" t="s">
        <v>192</v>
      </c>
      <c r="K3" s="5">
        <v>1</v>
      </c>
      <c r="L3" s="5" t="s">
        <v>192</v>
      </c>
      <c r="M3" s="5" t="s">
        <v>192</v>
      </c>
      <c r="N3" s="5" t="s">
        <v>192</v>
      </c>
      <c r="O3" s="5" t="s">
        <v>192</v>
      </c>
      <c r="P3" s="5" t="s">
        <v>192</v>
      </c>
      <c r="Q3" s="5" t="s">
        <v>192</v>
      </c>
      <c r="R3" s="5" t="s">
        <v>192</v>
      </c>
      <c r="S3" s="2" t="s">
        <v>192</v>
      </c>
      <c r="T3" s="2" t="s">
        <v>192</v>
      </c>
      <c r="U3" s="2" t="s">
        <v>192</v>
      </c>
      <c r="V3" s="2" t="s">
        <v>192</v>
      </c>
      <c r="W3" s="2" t="s">
        <v>192</v>
      </c>
      <c r="X3" s="2" t="s">
        <v>192</v>
      </c>
      <c r="Y3" s="2" t="s">
        <v>192</v>
      </c>
      <c r="Z3" s="2" t="s">
        <v>192</v>
      </c>
      <c r="AA3" s="2" t="s">
        <v>192</v>
      </c>
      <c r="AB3" s="2" t="s">
        <v>192</v>
      </c>
      <c r="AC3" s="2" t="s">
        <v>192</v>
      </c>
      <c r="AD3" s="2" t="s">
        <v>192</v>
      </c>
      <c r="AE3" s="2" t="s">
        <v>192</v>
      </c>
      <c r="AF3" s="38">
        <f>SUM(Table4[[#This Row],[Bacteriocin]:[T1PKS]])</f>
        <v>1</v>
      </c>
      <c r="AG3" s="2" t="s">
        <v>192</v>
      </c>
      <c r="AH3" s="36"/>
      <c r="AJ3" s="1" t="str">
        <f>Table4[[#This Row],[NRPS]]</f>
        <v>-</v>
      </c>
      <c r="AK3" s="1" t="str">
        <f>Table4[[#This Row],[T1PKS]]</f>
        <v>-</v>
      </c>
      <c r="AL3" s="1" t="str">
        <f>Table4[[#This Row],[NRPS, T1PKS]]</f>
        <v>-</v>
      </c>
      <c r="AM3" s="1" t="str">
        <f>Table4[[#This Row],[Terpene]]</f>
        <v>-</v>
      </c>
      <c r="AN3" s="25">
        <f t="shared" si="0"/>
        <v>1</v>
      </c>
      <c r="AO3" s="25">
        <f t="shared" si="1"/>
        <v>0</v>
      </c>
    </row>
    <row r="4" spans="1:41" x14ac:dyDescent="0.25">
      <c r="A4" s="9" t="s">
        <v>640</v>
      </c>
      <c r="B4" s="2" t="s">
        <v>813</v>
      </c>
      <c r="C4" s="2" t="s">
        <v>831</v>
      </c>
      <c r="D4" s="27">
        <v>97606</v>
      </c>
      <c r="E4" s="5">
        <v>1</v>
      </c>
      <c r="F4" s="5" t="s">
        <v>192</v>
      </c>
      <c r="G4" s="5" t="s">
        <v>192</v>
      </c>
      <c r="H4" s="5" t="s">
        <v>192</v>
      </c>
      <c r="I4" s="5" t="s">
        <v>192</v>
      </c>
      <c r="J4" s="5" t="s">
        <v>192</v>
      </c>
      <c r="K4" s="5" t="s">
        <v>192</v>
      </c>
      <c r="L4" s="5" t="s">
        <v>192</v>
      </c>
      <c r="M4" s="5" t="s">
        <v>192</v>
      </c>
      <c r="N4" s="5" t="s">
        <v>192</v>
      </c>
      <c r="O4" s="5" t="s">
        <v>192</v>
      </c>
      <c r="P4" s="5" t="s">
        <v>192</v>
      </c>
      <c r="Q4" s="5" t="s">
        <v>192</v>
      </c>
      <c r="R4" s="5" t="s">
        <v>192</v>
      </c>
      <c r="S4" s="2" t="s">
        <v>192</v>
      </c>
      <c r="T4" s="2" t="s">
        <v>192</v>
      </c>
      <c r="U4" s="2" t="s">
        <v>192</v>
      </c>
      <c r="V4" s="2" t="s">
        <v>192</v>
      </c>
      <c r="W4" s="2" t="s">
        <v>192</v>
      </c>
      <c r="X4" s="2" t="s">
        <v>192</v>
      </c>
      <c r="Y4" s="2" t="s">
        <v>192</v>
      </c>
      <c r="Z4" s="2" t="s">
        <v>192</v>
      </c>
      <c r="AA4" s="2" t="s">
        <v>192</v>
      </c>
      <c r="AB4" s="2" t="s">
        <v>192</v>
      </c>
      <c r="AC4" s="2" t="s">
        <v>192</v>
      </c>
      <c r="AD4" s="2" t="s">
        <v>192</v>
      </c>
      <c r="AE4" s="2" t="s">
        <v>192</v>
      </c>
      <c r="AF4" s="38">
        <f>SUM(Table4[[#This Row],[Bacteriocin]:[T1PKS]])</f>
        <v>1</v>
      </c>
      <c r="AG4" s="2" t="s">
        <v>192</v>
      </c>
      <c r="AH4" s="36"/>
      <c r="AJ4" s="1" t="str">
        <f>Table4[[#This Row],[NRPS]]</f>
        <v>-</v>
      </c>
      <c r="AK4" s="1" t="str">
        <f>Table4[[#This Row],[T1PKS]]</f>
        <v>-</v>
      </c>
      <c r="AL4" s="1" t="str">
        <f>Table4[[#This Row],[NRPS, T1PKS]]</f>
        <v>-</v>
      </c>
      <c r="AM4" s="1" t="str">
        <f>Table4[[#This Row],[Terpene]]</f>
        <v>-</v>
      </c>
      <c r="AN4" s="25">
        <f t="shared" si="0"/>
        <v>1</v>
      </c>
      <c r="AO4" s="25">
        <f t="shared" si="1"/>
        <v>0</v>
      </c>
    </row>
    <row r="5" spans="1:41" x14ac:dyDescent="0.25">
      <c r="A5" s="9" t="s">
        <v>640</v>
      </c>
      <c r="B5" s="2" t="s">
        <v>198</v>
      </c>
      <c r="C5" s="2" t="s">
        <v>832</v>
      </c>
      <c r="D5" s="27">
        <v>93804</v>
      </c>
      <c r="E5" s="5">
        <v>1</v>
      </c>
      <c r="F5" s="5" t="s">
        <v>192</v>
      </c>
      <c r="G5" s="5" t="s">
        <v>192</v>
      </c>
      <c r="H5" s="5" t="s">
        <v>192</v>
      </c>
      <c r="I5" s="5" t="s">
        <v>192</v>
      </c>
      <c r="J5" s="5" t="s">
        <v>192</v>
      </c>
      <c r="K5" s="5" t="s">
        <v>192</v>
      </c>
      <c r="L5" s="5" t="s">
        <v>192</v>
      </c>
      <c r="M5" s="5" t="s">
        <v>192</v>
      </c>
      <c r="N5" s="5" t="s">
        <v>192</v>
      </c>
      <c r="O5" s="5" t="s">
        <v>192</v>
      </c>
      <c r="P5" s="5" t="s">
        <v>192</v>
      </c>
      <c r="Q5" s="5" t="s">
        <v>192</v>
      </c>
      <c r="R5" s="5" t="s">
        <v>192</v>
      </c>
      <c r="S5" s="9" t="s">
        <v>192</v>
      </c>
      <c r="T5" s="9" t="s">
        <v>192</v>
      </c>
      <c r="U5" s="9" t="s">
        <v>192</v>
      </c>
      <c r="V5" s="9" t="s">
        <v>192</v>
      </c>
      <c r="W5" s="9" t="s">
        <v>192</v>
      </c>
      <c r="X5" s="9" t="s">
        <v>192</v>
      </c>
      <c r="Y5" s="9" t="s">
        <v>192</v>
      </c>
      <c r="Z5" s="9" t="s">
        <v>192</v>
      </c>
      <c r="AA5" s="9" t="s">
        <v>192</v>
      </c>
      <c r="AB5" s="9" t="s">
        <v>192</v>
      </c>
      <c r="AC5" s="9" t="s">
        <v>192</v>
      </c>
      <c r="AD5" s="9" t="s">
        <v>192</v>
      </c>
      <c r="AE5" s="9" t="s">
        <v>192</v>
      </c>
      <c r="AF5" s="38">
        <f>SUM(Table4[[#This Row],[Bacteriocin]:[T1PKS]])</f>
        <v>1</v>
      </c>
      <c r="AG5" s="9" t="s">
        <v>192</v>
      </c>
      <c r="AH5" s="9"/>
      <c r="AJ5" s="1" t="str">
        <f>Table4[[#This Row],[NRPS]]</f>
        <v>-</v>
      </c>
      <c r="AK5" s="1" t="str">
        <f>Table4[[#This Row],[T1PKS]]</f>
        <v>-</v>
      </c>
      <c r="AL5" s="1" t="str">
        <f>Table4[[#This Row],[NRPS, T1PKS]]</f>
        <v>-</v>
      </c>
      <c r="AM5" s="1" t="str">
        <f>Table4[[#This Row],[Terpene]]</f>
        <v>-</v>
      </c>
      <c r="AN5" s="25">
        <f t="shared" si="0"/>
        <v>1</v>
      </c>
      <c r="AO5" s="25">
        <f t="shared" si="1"/>
        <v>0</v>
      </c>
    </row>
    <row r="6" spans="1:41" x14ac:dyDescent="0.25">
      <c r="A6" s="9" t="s">
        <v>643</v>
      </c>
      <c r="B6" s="2" t="s">
        <v>213</v>
      </c>
      <c r="C6" s="2" t="s">
        <v>833</v>
      </c>
      <c r="D6" s="27">
        <v>76597</v>
      </c>
      <c r="E6" s="5" t="s">
        <v>192</v>
      </c>
      <c r="F6" s="5" t="s">
        <v>192</v>
      </c>
      <c r="G6" s="5" t="s">
        <v>192</v>
      </c>
      <c r="H6" s="5" t="s">
        <v>192</v>
      </c>
      <c r="I6" s="5" t="s">
        <v>192</v>
      </c>
      <c r="J6" s="5" t="s">
        <v>192</v>
      </c>
      <c r="K6" s="5" t="s">
        <v>192</v>
      </c>
      <c r="L6" s="5" t="s">
        <v>192</v>
      </c>
      <c r="M6" s="5" t="s">
        <v>192</v>
      </c>
      <c r="N6" s="5" t="s">
        <v>192</v>
      </c>
      <c r="O6" s="5" t="s">
        <v>192</v>
      </c>
      <c r="P6" s="5" t="s">
        <v>192</v>
      </c>
      <c r="Q6" s="5" t="s">
        <v>192</v>
      </c>
      <c r="R6" s="5" t="s">
        <v>192</v>
      </c>
      <c r="S6" s="9" t="s">
        <v>192</v>
      </c>
      <c r="T6" s="9" t="s">
        <v>192</v>
      </c>
      <c r="U6" s="9">
        <v>1</v>
      </c>
      <c r="V6" s="9" t="s">
        <v>192</v>
      </c>
      <c r="W6" s="9" t="s">
        <v>192</v>
      </c>
      <c r="X6" s="9" t="s">
        <v>192</v>
      </c>
      <c r="Y6" s="9" t="s">
        <v>192</v>
      </c>
      <c r="Z6" s="9" t="s">
        <v>192</v>
      </c>
      <c r="AA6" s="9" t="s">
        <v>192</v>
      </c>
      <c r="AB6" s="9" t="s">
        <v>192</v>
      </c>
      <c r="AC6" s="9" t="s">
        <v>192</v>
      </c>
      <c r="AD6" s="9" t="s">
        <v>192</v>
      </c>
      <c r="AE6" s="9" t="s">
        <v>192</v>
      </c>
      <c r="AF6" s="38">
        <f>SUM(Table4[[#This Row],[Bacteriocin]:[T1PKS]])</f>
        <v>1</v>
      </c>
      <c r="AG6" s="9" t="s">
        <v>192</v>
      </c>
      <c r="AH6" s="9"/>
      <c r="AJ6" s="1">
        <f>Table4[[#This Row],[NRPS]]</f>
        <v>1</v>
      </c>
      <c r="AK6" s="1" t="str">
        <f>Table4[[#This Row],[T1PKS]]</f>
        <v>-</v>
      </c>
      <c r="AL6" s="1" t="str">
        <f>Table4[[#This Row],[NRPS, T1PKS]]</f>
        <v>-</v>
      </c>
      <c r="AM6" s="1" t="str">
        <f>Table4[[#This Row],[Terpene]]</f>
        <v>-</v>
      </c>
      <c r="AN6" s="25">
        <f t="shared" si="0"/>
        <v>0</v>
      </c>
      <c r="AO6" s="25">
        <f t="shared" si="1"/>
        <v>0</v>
      </c>
    </row>
    <row r="7" spans="1:41" x14ac:dyDescent="0.25">
      <c r="A7" s="9" t="s">
        <v>651</v>
      </c>
      <c r="B7" s="2" t="s">
        <v>224</v>
      </c>
      <c r="C7" s="2" t="s">
        <v>834</v>
      </c>
      <c r="D7" s="27">
        <v>292325</v>
      </c>
      <c r="E7" s="5" t="s">
        <v>192</v>
      </c>
      <c r="F7" s="5" t="s">
        <v>192</v>
      </c>
      <c r="G7" s="5" t="s">
        <v>192</v>
      </c>
      <c r="H7" s="5" t="s">
        <v>192</v>
      </c>
      <c r="I7" s="5" t="s">
        <v>192</v>
      </c>
      <c r="J7" s="5" t="s">
        <v>192</v>
      </c>
      <c r="K7" s="5" t="s">
        <v>192</v>
      </c>
      <c r="L7" s="5" t="s">
        <v>192</v>
      </c>
      <c r="M7" s="5" t="s">
        <v>192</v>
      </c>
      <c r="N7" s="5" t="s">
        <v>192</v>
      </c>
      <c r="O7" s="5" t="s">
        <v>192</v>
      </c>
      <c r="P7" s="5" t="s">
        <v>192</v>
      </c>
      <c r="Q7" s="5" t="s">
        <v>192</v>
      </c>
      <c r="R7" s="5" t="s">
        <v>192</v>
      </c>
      <c r="S7" s="9" t="s">
        <v>192</v>
      </c>
      <c r="T7" s="9" t="s">
        <v>192</v>
      </c>
      <c r="U7" s="9" t="s">
        <v>192</v>
      </c>
      <c r="V7" s="9" t="s">
        <v>192</v>
      </c>
      <c r="W7" s="9" t="s">
        <v>192</v>
      </c>
      <c r="X7" s="9">
        <v>1</v>
      </c>
      <c r="Y7" s="9" t="s">
        <v>192</v>
      </c>
      <c r="Z7" s="9" t="s">
        <v>192</v>
      </c>
      <c r="AA7" s="9" t="s">
        <v>192</v>
      </c>
      <c r="AB7" s="9" t="s">
        <v>192</v>
      </c>
      <c r="AC7" s="9" t="s">
        <v>192</v>
      </c>
      <c r="AD7" s="9" t="s">
        <v>192</v>
      </c>
      <c r="AE7" s="9" t="s">
        <v>192</v>
      </c>
      <c r="AF7" s="38">
        <f>SUM(Table4[[#This Row],[Bacteriocin]:[T1PKS]])</f>
        <v>1</v>
      </c>
      <c r="AG7" s="9" t="s">
        <v>562</v>
      </c>
      <c r="AH7" s="9"/>
      <c r="AJ7" s="1" t="str">
        <f>Table4[[#This Row],[NRPS]]</f>
        <v>-</v>
      </c>
      <c r="AK7" s="1" t="str">
        <f>Table4[[#This Row],[T1PKS]]</f>
        <v>-</v>
      </c>
      <c r="AL7" s="1">
        <f>Table4[[#This Row],[NRPS, T1PKS]]</f>
        <v>1</v>
      </c>
      <c r="AM7" s="1" t="str">
        <f>Table4[[#This Row],[Terpene]]</f>
        <v>-</v>
      </c>
      <c r="AN7" s="25">
        <f t="shared" si="0"/>
        <v>0</v>
      </c>
      <c r="AO7" s="25">
        <f t="shared" si="1"/>
        <v>0</v>
      </c>
    </row>
    <row r="8" spans="1:41" x14ac:dyDescent="0.25">
      <c r="A8" s="9" t="s">
        <v>649</v>
      </c>
      <c r="B8" s="2" t="s">
        <v>224</v>
      </c>
      <c r="C8" s="2" t="s">
        <v>835</v>
      </c>
      <c r="D8" s="27">
        <v>157982</v>
      </c>
      <c r="E8" s="5" t="s">
        <v>192</v>
      </c>
      <c r="F8" s="5" t="s">
        <v>192</v>
      </c>
      <c r="G8" s="5" t="s">
        <v>192</v>
      </c>
      <c r="H8" s="5" t="s">
        <v>192</v>
      </c>
      <c r="I8" s="5" t="s">
        <v>192</v>
      </c>
      <c r="J8" s="5" t="s">
        <v>192</v>
      </c>
      <c r="K8" s="5" t="s">
        <v>192</v>
      </c>
      <c r="L8" s="5" t="s">
        <v>192</v>
      </c>
      <c r="M8" s="5" t="s">
        <v>192</v>
      </c>
      <c r="N8" s="5" t="s">
        <v>192</v>
      </c>
      <c r="O8" s="5" t="s">
        <v>192</v>
      </c>
      <c r="P8" s="5" t="s">
        <v>192</v>
      </c>
      <c r="Q8" s="5" t="s">
        <v>192</v>
      </c>
      <c r="R8" s="5" t="s">
        <v>192</v>
      </c>
      <c r="S8" s="9" t="s">
        <v>192</v>
      </c>
      <c r="T8" s="9" t="s">
        <v>192</v>
      </c>
      <c r="U8" s="9">
        <v>1</v>
      </c>
      <c r="V8" s="9" t="s">
        <v>192</v>
      </c>
      <c r="W8" s="9" t="s">
        <v>192</v>
      </c>
      <c r="X8" s="9" t="s">
        <v>192</v>
      </c>
      <c r="Y8" s="9" t="s">
        <v>192</v>
      </c>
      <c r="Z8" s="9" t="s">
        <v>192</v>
      </c>
      <c r="AA8" s="9" t="s">
        <v>192</v>
      </c>
      <c r="AB8" s="9" t="s">
        <v>192</v>
      </c>
      <c r="AC8" s="9" t="s">
        <v>192</v>
      </c>
      <c r="AD8" s="9" t="s">
        <v>192</v>
      </c>
      <c r="AE8" s="9" t="s">
        <v>192</v>
      </c>
      <c r="AF8" s="38">
        <f>SUM(Table4[[#This Row],[Bacteriocin]:[T1PKS]])</f>
        <v>1</v>
      </c>
      <c r="AG8" s="9" t="s">
        <v>192</v>
      </c>
      <c r="AH8" s="9"/>
      <c r="AJ8" s="1">
        <f>Table4[[#This Row],[NRPS]]</f>
        <v>1</v>
      </c>
      <c r="AK8" s="1" t="str">
        <f>Table4[[#This Row],[T1PKS]]</f>
        <v>-</v>
      </c>
      <c r="AL8" s="1" t="str">
        <f>Table4[[#This Row],[NRPS, T1PKS]]</f>
        <v>-</v>
      </c>
      <c r="AM8" s="1" t="str">
        <f>Table4[[#This Row],[Terpene]]</f>
        <v>-</v>
      </c>
      <c r="AN8" s="25">
        <f t="shared" si="0"/>
        <v>0</v>
      </c>
      <c r="AO8" s="25">
        <f t="shared" si="1"/>
        <v>0</v>
      </c>
    </row>
    <row r="9" spans="1:41" x14ac:dyDescent="0.25">
      <c r="A9" s="9" t="s">
        <v>649</v>
      </c>
      <c r="B9" s="2" t="s">
        <v>227</v>
      </c>
      <c r="C9" s="2" t="s">
        <v>836</v>
      </c>
      <c r="D9" s="27">
        <v>190194</v>
      </c>
      <c r="E9" s="5" t="s">
        <v>192</v>
      </c>
      <c r="F9" s="5" t="s">
        <v>192</v>
      </c>
      <c r="G9" s="5" t="s">
        <v>192</v>
      </c>
      <c r="H9" s="5" t="s">
        <v>192</v>
      </c>
      <c r="I9" s="5" t="s">
        <v>192</v>
      </c>
      <c r="J9" s="5" t="s">
        <v>192</v>
      </c>
      <c r="K9" s="5" t="s">
        <v>192</v>
      </c>
      <c r="L9" s="5" t="s">
        <v>192</v>
      </c>
      <c r="M9" s="5" t="s">
        <v>192</v>
      </c>
      <c r="N9" s="5" t="s">
        <v>192</v>
      </c>
      <c r="O9" s="5" t="s">
        <v>192</v>
      </c>
      <c r="P9" s="5" t="s">
        <v>192</v>
      </c>
      <c r="Q9" s="5" t="s">
        <v>192</v>
      </c>
      <c r="R9" s="5" t="s">
        <v>192</v>
      </c>
      <c r="S9" s="9" t="s">
        <v>192</v>
      </c>
      <c r="T9" s="9" t="s">
        <v>192</v>
      </c>
      <c r="U9" s="9" t="s">
        <v>192</v>
      </c>
      <c r="V9" s="9" t="s">
        <v>192</v>
      </c>
      <c r="W9" s="9" t="s">
        <v>192</v>
      </c>
      <c r="X9" s="9" t="s">
        <v>192</v>
      </c>
      <c r="Y9" s="9" t="s">
        <v>192</v>
      </c>
      <c r="Z9" s="9" t="s">
        <v>192</v>
      </c>
      <c r="AA9" s="9" t="s">
        <v>192</v>
      </c>
      <c r="AB9" s="9" t="s">
        <v>192</v>
      </c>
      <c r="AC9" s="9" t="s">
        <v>192</v>
      </c>
      <c r="AD9" s="9" t="s">
        <v>192</v>
      </c>
      <c r="AE9" s="9">
        <v>1</v>
      </c>
      <c r="AF9" s="38">
        <f>SUM(Table4[[#This Row],[Bacteriocin]:[T1PKS]])</f>
        <v>1</v>
      </c>
      <c r="AG9" s="9" t="s">
        <v>192</v>
      </c>
      <c r="AH9" s="9"/>
      <c r="AJ9" s="1" t="str">
        <f>Table4[[#This Row],[NRPS]]</f>
        <v>-</v>
      </c>
      <c r="AK9" s="1">
        <f>Table4[[#This Row],[T1PKS]]</f>
        <v>1</v>
      </c>
      <c r="AL9" s="1" t="str">
        <f>Table4[[#This Row],[NRPS, T1PKS]]</f>
        <v>-</v>
      </c>
      <c r="AM9" s="1" t="str">
        <f>Table4[[#This Row],[Terpene]]</f>
        <v>-</v>
      </c>
      <c r="AN9" s="25">
        <f t="shared" si="0"/>
        <v>0</v>
      </c>
      <c r="AO9" s="25">
        <f t="shared" si="1"/>
        <v>0</v>
      </c>
    </row>
    <row r="10" spans="1:41" x14ac:dyDescent="0.25">
      <c r="A10" s="9" t="s">
        <v>816</v>
      </c>
      <c r="B10" s="2" t="s">
        <v>224</v>
      </c>
      <c r="C10" s="2" t="s">
        <v>837</v>
      </c>
      <c r="D10" s="27">
        <v>391340</v>
      </c>
      <c r="E10" s="5" t="s">
        <v>192</v>
      </c>
      <c r="F10" s="5" t="s">
        <v>192</v>
      </c>
      <c r="G10" s="5" t="s">
        <v>192</v>
      </c>
      <c r="H10" s="5" t="s">
        <v>192</v>
      </c>
      <c r="I10" s="5" t="s">
        <v>192</v>
      </c>
      <c r="J10" s="5" t="s">
        <v>192</v>
      </c>
      <c r="K10" s="5" t="s">
        <v>192</v>
      </c>
      <c r="L10" s="5" t="s">
        <v>192</v>
      </c>
      <c r="M10" s="5" t="s">
        <v>192</v>
      </c>
      <c r="N10" s="5" t="s">
        <v>192</v>
      </c>
      <c r="O10" s="5" t="s">
        <v>192</v>
      </c>
      <c r="P10" s="5" t="s">
        <v>192</v>
      </c>
      <c r="Q10" s="5" t="s">
        <v>192</v>
      </c>
      <c r="R10" s="5" t="s">
        <v>192</v>
      </c>
      <c r="S10" s="9">
        <v>1</v>
      </c>
      <c r="T10" s="9" t="s">
        <v>192</v>
      </c>
      <c r="U10" s="9" t="s">
        <v>192</v>
      </c>
      <c r="V10" s="9" t="s">
        <v>192</v>
      </c>
      <c r="W10" s="9" t="s">
        <v>192</v>
      </c>
      <c r="X10" s="9" t="s">
        <v>192</v>
      </c>
      <c r="Y10" s="9" t="s">
        <v>192</v>
      </c>
      <c r="Z10" s="9" t="s">
        <v>192</v>
      </c>
      <c r="AA10" s="9" t="s">
        <v>192</v>
      </c>
      <c r="AB10" s="9" t="s">
        <v>192</v>
      </c>
      <c r="AC10" s="9" t="s">
        <v>192</v>
      </c>
      <c r="AD10" s="9" t="s">
        <v>192</v>
      </c>
      <c r="AE10" s="9" t="s">
        <v>192</v>
      </c>
      <c r="AF10" s="38">
        <f>SUM(Table4[[#This Row],[Bacteriocin]:[T1PKS]])</f>
        <v>1</v>
      </c>
      <c r="AG10" s="9" t="s">
        <v>192</v>
      </c>
      <c r="AH10" s="9"/>
      <c r="AJ10" s="1" t="str">
        <f>Table4[[#This Row],[NRPS]]</f>
        <v>-</v>
      </c>
      <c r="AK10" s="1" t="str">
        <f>Table4[[#This Row],[T1PKS]]</f>
        <v>-</v>
      </c>
      <c r="AL10" s="1" t="str">
        <f>Table4[[#This Row],[NRPS, T1PKS]]</f>
        <v>-</v>
      </c>
      <c r="AM10" s="1" t="str">
        <f>Table4[[#This Row],[Terpene]]</f>
        <v>-</v>
      </c>
      <c r="AN10" s="25">
        <f t="shared" si="0"/>
        <v>1</v>
      </c>
      <c r="AO10" s="25">
        <f t="shared" si="1"/>
        <v>0</v>
      </c>
    </row>
    <row r="11" spans="1:41" x14ac:dyDescent="0.25">
      <c r="A11" s="9" t="s">
        <v>654</v>
      </c>
      <c r="B11" s="2" t="s">
        <v>231</v>
      </c>
      <c r="C11" s="2" t="s">
        <v>840</v>
      </c>
      <c r="D11" s="27">
        <v>365907</v>
      </c>
      <c r="E11" s="5">
        <v>1</v>
      </c>
      <c r="F11" s="5" t="s">
        <v>192</v>
      </c>
      <c r="G11" s="5" t="s">
        <v>192</v>
      </c>
      <c r="H11" s="5" t="s">
        <v>192</v>
      </c>
      <c r="I11" s="5" t="s">
        <v>192</v>
      </c>
      <c r="J11" s="5" t="s">
        <v>192</v>
      </c>
      <c r="K11" s="5" t="s">
        <v>192</v>
      </c>
      <c r="L11" s="5" t="s">
        <v>192</v>
      </c>
      <c r="M11" s="5" t="s">
        <v>192</v>
      </c>
      <c r="N11" s="5" t="s">
        <v>192</v>
      </c>
      <c r="O11" s="5" t="s">
        <v>192</v>
      </c>
      <c r="P11" s="5" t="s">
        <v>192</v>
      </c>
      <c r="Q11" s="5" t="s">
        <v>192</v>
      </c>
      <c r="R11" s="5" t="s">
        <v>192</v>
      </c>
      <c r="S11" s="9" t="s">
        <v>192</v>
      </c>
      <c r="T11" s="9" t="s">
        <v>192</v>
      </c>
      <c r="U11" s="9" t="s">
        <v>192</v>
      </c>
      <c r="V11" s="9" t="s">
        <v>192</v>
      </c>
      <c r="W11" s="9" t="s">
        <v>192</v>
      </c>
      <c r="X11" s="9" t="s">
        <v>192</v>
      </c>
      <c r="Y11" s="9" t="s">
        <v>192</v>
      </c>
      <c r="Z11" s="9" t="s">
        <v>192</v>
      </c>
      <c r="AA11" s="9" t="s">
        <v>192</v>
      </c>
      <c r="AB11" s="9" t="s">
        <v>192</v>
      </c>
      <c r="AC11" s="9" t="s">
        <v>192</v>
      </c>
      <c r="AD11" s="9" t="s">
        <v>192</v>
      </c>
      <c r="AE11" s="9" t="s">
        <v>192</v>
      </c>
      <c r="AF11" s="38">
        <f>SUM(Table4[[#This Row],[Bacteriocin]:[T1PKS]])</f>
        <v>1</v>
      </c>
      <c r="AG11" s="9" t="s">
        <v>192</v>
      </c>
      <c r="AH11" s="9"/>
      <c r="AJ11" s="1" t="str">
        <f>Table4[[#This Row],[NRPS]]</f>
        <v>-</v>
      </c>
      <c r="AK11" s="1" t="str">
        <f>Table4[[#This Row],[T1PKS]]</f>
        <v>-</v>
      </c>
      <c r="AL11" s="1" t="str">
        <f>Table4[[#This Row],[NRPS, T1PKS]]</f>
        <v>-</v>
      </c>
      <c r="AM11" s="1" t="str">
        <f>Table4[[#This Row],[Terpene]]</f>
        <v>-</v>
      </c>
      <c r="AN11" s="25">
        <f t="shared" si="0"/>
        <v>1</v>
      </c>
      <c r="AO11" s="25">
        <f t="shared" si="1"/>
        <v>0</v>
      </c>
    </row>
    <row r="12" spans="1:41" x14ac:dyDescent="0.25">
      <c r="A12" s="9" t="s">
        <v>817</v>
      </c>
      <c r="B12" s="2" t="s">
        <v>227</v>
      </c>
      <c r="C12" s="2" t="s">
        <v>838</v>
      </c>
      <c r="D12" s="27">
        <v>126615</v>
      </c>
      <c r="E12" s="5" t="s">
        <v>192</v>
      </c>
      <c r="F12" s="5" t="s">
        <v>192</v>
      </c>
      <c r="G12" s="5" t="s">
        <v>192</v>
      </c>
      <c r="H12" s="5" t="s">
        <v>192</v>
      </c>
      <c r="I12" s="5" t="s">
        <v>192</v>
      </c>
      <c r="J12" s="5" t="s">
        <v>192</v>
      </c>
      <c r="K12" s="5" t="s">
        <v>192</v>
      </c>
      <c r="L12" s="5" t="s">
        <v>192</v>
      </c>
      <c r="M12" s="5" t="s">
        <v>192</v>
      </c>
      <c r="N12" s="5" t="s">
        <v>192</v>
      </c>
      <c r="O12" s="5">
        <v>1</v>
      </c>
      <c r="P12" s="5" t="s">
        <v>192</v>
      </c>
      <c r="Q12" s="5" t="s">
        <v>192</v>
      </c>
      <c r="R12" s="5" t="s">
        <v>192</v>
      </c>
      <c r="S12" s="9" t="s">
        <v>192</v>
      </c>
      <c r="T12" s="9" t="s">
        <v>192</v>
      </c>
      <c r="U12" s="9" t="s">
        <v>192</v>
      </c>
      <c r="V12" s="9" t="s">
        <v>192</v>
      </c>
      <c r="W12" s="9" t="s">
        <v>192</v>
      </c>
      <c r="X12" s="9" t="s">
        <v>192</v>
      </c>
      <c r="Y12" s="9" t="s">
        <v>192</v>
      </c>
      <c r="Z12" s="9" t="s">
        <v>192</v>
      </c>
      <c r="AA12" s="9" t="s">
        <v>192</v>
      </c>
      <c r="AB12" s="9" t="s">
        <v>192</v>
      </c>
      <c r="AC12" s="9" t="s">
        <v>192</v>
      </c>
      <c r="AD12" s="9" t="s">
        <v>192</v>
      </c>
      <c r="AE12" s="9" t="s">
        <v>192</v>
      </c>
      <c r="AF12" s="38">
        <f>SUM(Table4[[#This Row],[Bacteriocin]:[T1PKS]])</f>
        <v>1</v>
      </c>
      <c r="AG12" s="9" t="s">
        <v>192</v>
      </c>
      <c r="AH12" s="9"/>
      <c r="AJ12" s="1" t="str">
        <f>Table4[[#This Row],[NRPS]]</f>
        <v>-</v>
      </c>
      <c r="AK12" s="1" t="str">
        <f>Table4[[#This Row],[T1PKS]]</f>
        <v>-</v>
      </c>
      <c r="AL12" s="1" t="str">
        <f>Table4[[#This Row],[NRPS, T1PKS]]</f>
        <v>-</v>
      </c>
      <c r="AM12" s="1" t="str">
        <f>Table4[[#This Row],[Terpene]]</f>
        <v>-</v>
      </c>
      <c r="AN12" s="25">
        <f t="shared" si="0"/>
        <v>0</v>
      </c>
      <c r="AO12" s="25">
        <f t="shared" si="1"/>
        <v>1</v>
      </c>
    </row>
    <row r="13" spans="1:41" x14ac:dyDescent="0.25">
      <c r="A13" s="9" t="s">
        <v>657</v>
      </c>
      <c r="B13" s="2" t="s">
        <v>231</v>
      </c>
      <c r="C13" s="2" t="s">
        <v>839</v>
      </c>
      <c r="D13" s="27">
        <v>365907</v>
      </c>
      <c r="E13" s="5">
        <v>1</v>
      </c>
      <c r="F13" s="5" t="s">
        <v>192</v>
      </c>
      <c r="G13" s="5" t="s">
        <v>192</v>
      </c>
      <c r="H13" s="5" t="s">
        <v>192</v>
      </c>
      <c r="I13" s="5" t="s">
        <v>192</v>
      </c>
      <c r="J13" s="5" t="s">
        <v>192</v>
      </c>
      <c r="K13" s="5" t="s">
        <v>192</v>
      </c>
      <c r="L13" s="5" t="s">
        <v>192</v>
      </c>
      <c r="M13" s="5" t="s">
        <v>192</v>
      </c>
      <c r="N13" s="5" t="s">
        <v>192</v>
      </c>
      <c r="O13" s="5" t="s">
        <v>192</v>
      </c>
      <c r="P13" s="5" t="s">
        <v>192</v>
      </c>
      <c r="Q13" s="5" t="s">
        <v>192</v>
      </c>
      <c r="R13" s="5" t="s">
        <v>192</v>
      </c>
      <c r="S13" s="9" t="s">
        <v>192</v>
      </c>
      <c r="T13" s="9" t="s">
        <v>192</v>
      </c>
      <c r="U13" s="9" t="s">
        <v>192</v>
      </c>
      <c r="V13" s="9" t="s">
        <v>192</v>
      </c>
      <c r="W13" s="9" t="s">
        <v>192</v>
      </c>
      <c r="X13" s="9" t="s">
        <v>192</v>
      </c>
      <c r="Y13" s="9" t="s">
        <v>192</v>
      </c>
      <c r="Z13" s="9" t="s">
        <v>192</v>
      </c>
      <c r="AA13" s="9" t="s">
        <v>192</v>
      </c>
      <c r="AB13" s="9" t="s">
        <v>192</v>
      </c>
      <c r="AC13" s="9" t="s">
        <v>192</v>
      </c>
      <c r="AD13" s="9" t="s">
        <v>192</v>
      </c>
      <c r="AE13" s="9" t="s">
        <v>192</v>
      </c>
      <c r="AF13" s="38">
        <f>SUM(Table4[[#This Row],[Bacteriocin]:[T1PKS]])</f>
        <v>1</v>
      </c>
      <c r="AG13" s="9" t="s">
        <v>192</v>
      </c>
      <c r="AH13" s="9"/>
      <c r="AJ13" s="1" t="str">
        <f>Table4[[#This Row],[NRPS]]</f>
        <v>-</v>
      </c>
      <c r="AK13" s="1" t="str">
        <f>Table4[[#This Row],[T1PKS]]</f>
        <v>-</v>
      </c>
      <c r="AL13" s="1" t="str">
        <f>Table4[[#This Row],[NRPS, T1PKS]]</f>
        <v>-</v>
      </c>
      <c r="AM13" s="1" t="str">
        <f>Table4[[#This Row],[Terpene]]</f>
        <v>-</v>
      </c>
      <c r="AN13" s="25">
        <f t="shared" si="0"/>
        <v>1</v>
      </c>
      <c r="AO13" s="25">
        <f t="shared" si="1"/>
        <v>0</v>
      </c>
    </row>
    <row r="14" spans="1:41" x14ac:dyDescent="0.25">
      <c r="A14" s="9" t="s">
        <v>638</v>
      </c>
      <c r="B14" s="2" t="s">
        <v>826</v>
      </c>
      <c r="C14" s="2" t="s">
        <v>841</v>
      </c>
      <c r="D14" s="27">
        <v>80757</v>
      </c>
      <c r="E14" s="5" t="s">
        <v>192</v>
      </c>
      <c r="F14" s="5" t="s">
        <v>192</v>
      </c>
      <c r="G14" s="5" t="s">
        <v>192</v>
      </c>
      <c r="H14" s="5" t="s">
        <v>192</v>
      </c>
      <c r="I14" s="5" t="s">
        <v>192</v>
      </c>
      <c r="J14" s="5" t="s">
        <v>192</v>
      </c>
      <c r="K14" s="5" t="s">
        <v>192</v>
      </c>
      <c r="L14" s="5" t="s">
        <v>192</v>
      </c>
      <c r="M14" s="5" t="s">
        <v>192</v>
      </c>
      <c r="N14" s="5" t="s">
        <v>192</v>
      </c>
      <c r="O14" s="5" t="s">
        <v>192</v>
      </c>
      <c r="P14" s="5" t="s">
        <v>192</v>
      </c>
      <c r="Q14" s="5" t="s">
        <v>192</v>
      </c>
      <c r="R14" s="5" t="s">
        <v>192</v>
      </c>
      <c r="S14" s="2" t="s">
        <v>192</v>
      </c>
      <c r="T14" s="2" t="s">
        <v>192</v>
      </c>
      <c r="U14" s="2" t="s">
        <v>192</v>
      </c>
      <c r="V14" s="2" t="s">
        <v>192</v>
      </c>
      <c r="W14" s="2" t="s">
        <v>192</v>
      </c>
      <c r="X14" s="2" t="s">
        <v>192</v>
      </c>
      <c r="Y14" s="2" t="s">
        <v>192</v>
      </c>
      <c r="Z14" s="2" t="s">
        <v>192</v>
      </c>
      <c r="AA14" s="2" t="s">
        <v>192</v>
      </c>
      <c r="AB14" s="2" t="s">
        <v>192</v>
      </c>
      <c r="AC14" s="2" t="s">
        <v>192</v>
      </c>
      <c r="AD14" s="2">
        <v>1</v>
      </c>
      <c r="AE14" s="2" t="s">
        <v>192</v>
      </c>
      <c r="AF14" s="38">
        <f>SUM(Table4[[#This Row],[Bacteriocin]:[T1PKS]])</f>
        <v>1</v>
      </c>
      <c r="AG14" s="2" t="s">
        <v>192</v>
      </c>
      <c r="AH14" s="36"/>
      <c r="AJ14" s="1" t="str">
        <f>Table4[[#This Row],[NRPS]]</f>
        <v>-</v>
      </c>
      <c r="AK14" s="1" t="str">
        <f>Table4[[#This Row],[T1PKS]]</f>
        <v>-</v>
      </c>
      <c r="AL14" s="1" t="str">
        <f>Table4[[#This Row],[NRPS, T1PKS]]</f>
        <v>-</v>
      </c>
      <c r="AM14" s="1" t="str">
        <f>Table4[[#This Row],[Terpene]]</f>
        <v>-</v>
      </c>
      <c r="AN14" s="25">
        <f t="shared" si="0"/>
        <v>1</v>
      </c>
      <c r="AO14" s="25">
        <f t="shared" si="1"/>
        <v>0</v>
      </c>
    </row>
    <row r="15" spans="1:41" x14ac:dyDescent="0.25">
      <c r="A15" s="9" t="s">
        <v>636</v>
      </c>
      <c r="B15" s="2" t="s">
        <v>828</v>
      </c>
      <c r="C15" s="2" t="s">
        <v>843</v>
      </c>
      <c r="D15" s="27">
        <v>54978</v>
      </c>
      <c r="E15" s="5" t="s">
        <v>192</v>
      </c>
      <c r="F15" s="5" t="s">
        <v>192</v>
      </c>
      <c r="G15" s="5" t="s">
        <v>192</v>
      </c>
      <c r="H15" s="5" t="s">
        <v>192</v>
      </c>
      <c r="I15" s="5" t="s">
        <v>192</v>
      </c>
      <c r="J15" s="5" t="s">
        <v>192</v>
      </c>
      <c r="K15" s="5" t="s">
        <v>192</v>
      </c>
      <c r="L15" s="5" t="s">
        <v>192</v>
      </c>
      <c r="M15" s="5" t="s">
        <v>192</v>
      </c>
      <c r="N15" s="5" t="s">
        <v>192</v>
      </c>
      <c r="O15" s="5" t="s">
        <v>192</v>
      </c>
      <c r="P15" s="5" t="s">
        <v>192</v>
      </c>
      <c r="Q15" s="5" t="s">
        <v>192</v>
      </c>
      <c r="R15" s="5" t="s">
        <v>192</v>
      </c>
      <c r="S15" s="2" t="s">
        <v>192</v>
      </c>
      <c r="T15" s="2" t="s">
        <v>192</v>
      </c>
      <c r="U15" s="2" t="s">
        <v>192</v>
      </c>
      <c r="V15" s="2" t="s">
        <v>192</v>
      </c>
      <c r="W15" s="2" t="s">
        <v>192</v>
      </c>
      <c r="X15" s="2">
        <v>1</v>
      </c>
      <c r="Y15" s="2" t="s">
        <v>192</v>
      </c>
      <c r="Z15" s="2" t="s">
        <v>192</v>
      </c>
      <c r="AA15" s="2" t="s">
        <v>192</v>
      </c>
      <c r="AB15" s="2" t="s">
        <v>192</v>
      </c>
      <c r="AC15" s="2" t="s">
        <v>192</v>
      </c>
      <c r="AD15" s="2" t="s">
        <v>192</v>
      </c>
      <c r="AE15" s="2" t="s">
        <v>192</v>
      </c>
      <c r="AF15" s="38">
        <f>SUM(Table4[[#This Row],[Bacteriocin]:[T1PKS]])</f>
        <v>1</v>
      </c>
      <c r="AG15" s="2" t="s">
        <v>192</v>
      </c>
      <c r="AH15" s="36"/>
      <c r="AJ15" s="1" t="str">
        <f>Table4[[#This Row],[NRPS]]</f>
        <v>-</v>
      </c>
      <c r="AK15" s="1" t="str">
        <f>Table4[[#This Row],[T1PKS]]</f>
        <v>-</v>
      </c>
      <c r="AL15" s="1">
        <f>Table4[[#This Row],[NRPS, T1PKS]]</f>
        <v>1</v>
      </c>
      <c r="AM15" s="1" t="str">
        <f>Table4[[#This Row],[Terpene]]</f>
        <v>-</v>
      </c>
      <c r="AN15" s="25">
        <f t="shared" si="0"/>
        <v>0</v>
      </c>
      <c r="AO15" s="25">
        <f t="shared" si="1"/>
        <v>0</v>
      </c>
    </row>
    <row r="16" spans="1:41" x14ac:dyDescent="0.25">
      <c r="A16" s="9" t="s">
        <v>666</v>
      </c>
      <c r="B16" s="2" t="s">
        <v>844</v>
      </c>
      <c r="C16" s="2" t="s">
        <v>845</v>
      </c>
      <c r="D16" s="28">
        <v>196837</v>
      </c>
      <c r="E16" s="7">
        <v>1</v>
      </c>
      <c r="F16" s="7" t="s">
        <v>192</v>
      </c>
      <c r="G16" s="7" t="s">
        <v>192</v>
      </c>
      <c r="H16" s="7" t="s">
        <v>192</v>
      </c>
      <c r="I16" s="7" t="s">
        <v>192</v>
      </c>
      <c r="J16" s="7" t="s">
        <v>192</v>
      </c>
      <c r="K16" s="7" t="s">
        <v>192</v>
      </c>
      <c r="L16" s="7" t="s">
        <v>192</v>
      </c>
      <c r="M16" s="7" t="s">
        <v>192</v>
      </c>
      <c r="N16" s="7" t="s">
        <v>192</v>
      </c>
      <c r="O16" s="7" t="s">
        <v>192</v>
      </c>
      <c r="P16" s="7" t="s">
        <v>192</v>
      </c>
      <c r="Q16" s="7" t="s">
        <v>192</v>
      </c>
      <c r="R16" s="7" t="s">
        <v>192</v>
      </c>
      <c r="S16" s="9" t="s">
        <v>192</v>
      </c>
      <c r="T16" s="9" t="s">
        <v>192</v>
      </c>
      <c r="U16" s="9" t="s">
        <v>192</v>
      </c>
      <c r="V16" s="9" t="s">
        <v>192</v>
      </c>
      <c r="W16" s="9" t="s">
        <v>192</v>
      </c>
      <c r="X16" s="9" t="s">
        <v>192</v>
      </c>
      <c r="Y16" s="9" t="s">
        <v>192</v>
      </c>
      <c r="Z16" s="9" t="s">
        <v>192</v>
      </c>
      <c r="AA16" s="9" t="s">
        <v>192</v>
      </c>
      <c r="AB16" s="9" t="s">
        <v>192</v>
      </c>
      <c r="AC16" s="9" t="s">
        <v>192</v>
      </c>
      <c r="AD16" s="9" t="s">
        <v>192</v>
      </c>
      <c r="AE16" s="9" t="s">
        <v>192</v>
      </c>
      <c r="AF16" s="38">
        <f>SUM(Table4[[#This Row],[Bacteriocin]:[T1PKS]])</f>
        <v>1</v>
      </c>
      <c r="AG16" s="2" t="s">
        <v>192</v>
      </c>
      <c r="AH16" s="36"/>
      <c r="AJ16" s="1" t="str">
        <f>Table4[[#This Row],[NRPS]]</f>
        <v>-</v>
      </c>
      <c r="AK16" s="1" t="str">
        <f>Table4[[#This Row],[T1PKS]]</f>
        <v>-</v>
      </c>
      <c r="AL16" s="1" t="str">
        <f>Table4[[#This Row],[NRPS, T1PKS]]</f>
        <v>-</v>
      </c>
      <c r="AM16" s="1" t="str">
        <f>Table4[[#This Row],[Terpene]]</f>
        <v>-</v>
      </c>
      <c r="AN16" s="25">
        <f t="shared" si="0"/>
        <v>1</v>
      </c>
      <c r="AO16" s="25">
        <f t="shared" si="1"/>
        <v>0</v>
      </c>
    </row>
    <row r="17" spans="1:41" x14ac:dyDescent="0.25">
      <c r="A17" s="9" t="s">
        <v>647</v>
      </c>
      <c r="B17" s="2" t="s">
        <v>231</v>
      </c>
      <c r="C17" s="2" t="s">
        <v>846</v>
      </c>
      <c r="D17" s="27">
        <v>261073</v>
      </c>
      <c r="E17" s="5" t="s">
        <v>192</v>
      </c>
      <c r="F17" s="5" t="s">
        <v>192</v>
      </c>
      <c r="G17" s="5" t="s">
        <v>192</v>
      </c>
      <c r="H17" s="5" t="s">
        <v>192</v>
      </c>
      <c r="I17" s="5" t="s">
        <v>192</v>
      </c>
      <c r="J17" s="5" t="s">
        <v>192</v>
      </c>
      <c r="K17" s="5" t="s">
        <v>192</v>
      </c>
      <c r="L17" s="5" t="s">
        <v>192</v>
      </c>
      <c r="M17" s="5" t="s">
        <v>192</v>
      </c>
      <c r="N17" s="5" t="s">
        <v>192</v>
      </c>
      <c r="O17" s="5" t="s">
        <v>192</v>
      </c>
      <c r="P17" s="5" t="s">
        <v>192</v>
      </c>
      <c r="Q17" s="5" t="s">
        <v>192</v>
      </c>
      <c r="R17" s="5" t="s">
        <v>192</v>
      </c>
      <c r="S17" s="9" t="s">
        <v>192</v>
      </c>
      <c r="T17" s="9" t="s">
        <v>192</v>
      </c>
      <c r="U17" s="9" t="s">
        <v>192</v>
      </c>
      <c r="V17" s="9" t="s">
        <v>192</v>
      </c>
      <c r="W17" s="9" t="s">
        <v>192</v>
      </c>
      <c r="X17" s="9">
        <v>1</v>
      </c>
      <c r="Y17" s="9" t="s">
        <v>192</v>
      </c>
      <c r="Z17" s="9" t="s">
        <v>192</v>
      </c>
      <c r="AA17" s="9" t="s">
        <v>192</v>
      </c>
      <c r="AB17" s="9" t="s">
        <v>192</v>
      </c>
      <c r="AC17" s="9" t="s">
        <v>192</v>
      </c>
      <c r="AD17" s="9" t="s">
        <v>192</v>
      </c>
      <c r="AE17" s="9" t="s">
        <v>192</v>
      </c>
      <c r="AF17" s="38">
        <f>SUM(Table4[[#This Row],[Bacteriocin]:[T1PKS]])</f>
        <v>1</v>
      </c>
      <c r="AG17" s="9" t="s">
        <v>192</v>
      </c>
      <c r="AH17" s="9"/>
      <c r="AJ17" s="1" t="str">
        <f>Table4[[#This Row],[NRPS]]</f>
        <v>-</v>
      </c>
      <c r="AK17" s="1" t="str">
        <f>Table4[[#This Row],[T1PKS]]</f>
        <v>-</v>
      </c>
      <c r="AL17" s="1">
        <f>Table4[[#This Row],[NRPS, T1PKS]]</f>
        <v>1</v>
      </c>
      <c r="AM17" s="1" t="str">
        <f>Table4[[#This Row],[Terpene]]</f>
        <v>-</v>
      </c>
      <c r="AN17" s="25">
        <f t="shared" si="0"/>
        <v>0</v>
      </c>
      <c r="AO17" s="25">
        <f t="shared" si="1"/>
        <v>0</v>
      </c>
    </row>
    <row r="18" spans="1:41" x14ac:dyDescent="0.25">
      <c r="A18" s="9" t="s">
        <v>647</v>
      </c>
      <c r="B18" s="2" t="s">
        <v>198</v>
      </c>
      <c r="C18" s="2" t="s">
        <v>847</v>
      </c>
      <c r="D18" s="27">
        <v>220013</v>
      </c>
      <c r="E18" s="5" t="s">
        <v>192</v>
      </c>
      <c r="F18" s="5" t="s">
        <v>192</v>
      </c>
      <c r="G18" s="5" t="s">
        <v>192</v>
      </c>
      <c r="H18" s="5" t="s">
        <v>192</v>
      </c>
      <c r="I18" s="5" t="s">
        <v>192</v>
      </c>
      <c r="J18" s="5" t="s">
        <v>192</v>
      </c>
      <c r="K18" s="5" t="s">
        <v>192</v>
      </c>
      <c r="L18" s="5" t="s">
        <v>192</v>
      </c>
      <c r="M18" s="5" t="s">
        <v>192</v>
      </c>
      <c r="N18" s="5" t="s">
        <v>192</v>
      </c>
      <c r="O18" s="5" t="s">
        <v>192</v>
      </c>
      <c r="P18" s="5" t="s">
        <v>192</v>
      </c>
      <c r="Q18" s="5" t="s">
        <v>192</v>
      </c>
      <c r="R18" s="5">
        <v>1</v>
      </c>
      <c r="S18" s="9" t="s">
        <v>192</v>
      </c>
      <c r="T18" s="9" t="s">
        <v>192</v>
      </c>
      <c r="U18" s="9" t="s">
        <v>192</v>
      </c>
      <c r="V18" s="9" t="s">
        <v>192</v>
      </c>
      <c r="W18" s="9" t="s">
        <v>192</v>
      </c>
      <c r="X18" s="9" t="s">
        <v>192</v>
      </c>
      <c r="Y18" s="9" t="s">
        <v>192</v>
      </c>
      <c r="Z18" s="9" t="s">
        <v>192</v>
      </c>
      <c r="AA18" s="9" t="s">
        <v>192</v>
      </c>
      <c r="AB18" s="9" t="s">
        <v>192</v>
      </c>
      <c r="AC18" s="9" t="s">
        <v>192</v>
      </c>
      <c r="AD18" s="9" t="s">
        <v>192</v>
      </c>
      <c r="AE18" s="9" t="s">
        <v>192</v>
      </c>
      <c r="AF18" s="38">
        <f>SUM(Table4[[#This Row],[Bacteriocin]:[T1PKS]])</f>
        <v>1</v>
      </c>
      <c r="AG18" s="9" t="s">
        <v>192</v>
      </c>
      <c r="AH18" s="9"/>
      <c r="AJ18" s="1" t="str">
        <f>Table4[[#This Row],[NRPS]]</f>
        <v>-</v>
      </c>
      <c r="AK18" s="1" t="str">
        <f>Table4[[#This Row],[T1PKS]]</f>
        <v>-</v>
      </c>
      <c r="AL18" s="1" t="str">
        <f>Table4[[#This Row],[NRPS, T1PKS]]</f>
        <v>-</v>
      </c>
      <c r="AM18" s="1" t="str">
        <f>Table4[[#This Row],[Terpene]]</f>
        <v>-</v>
      </c>
      <c r="AN18" s="25">
        <f t="shared" si="0"/>
        <v>1</v>
      </c>
      <c r="AO18" s="25">
        <f t="shared" si="1"/>
        <v>0</v>
      </c>
    </row>
    <row r="19" spans="1:41" x14ac:dyDescent="0.25">
      <c r="A19" s="9" t="s">
        <v>647</v>
      </c>
      <c r="B19" s="2" t="s">
        <v>224</v>
      </c>
      <c r="C19" s="2" t="s">
        <v>848</v>
      </c>
      <c r="D19" s="27">
        <v>340655</v>
      </c>
      <c r="E19" s="5" t="s">
        <v>192</v>
      </c>
      <c r="F19" s="5" t="s">
        <v>192</v>
      </c>
      <c r="G19" s="5" t="s">
        <v>192</v>
      </c>
      <c r="H19" s="5" t="s">
        <v>192</v>
      </c>
      <c r="I19" s="5" t="s">
        <v>192</v>
      </c>
      <c r="J19" s="5" t="s">
        <v>192</v>
      </c>
      <c r="K19" s="5" t="s">
        <v>192</v>
      </c>
      <c r="L19" s="5" t="s">
        <v>192</v>
      </c>
      <c r="M19" s="5" t="s">
        <v>192</v>
      </c>
      <c r="N19" s="5" t="s">
        <v>192</v>
      </c>
      <c r="O19" s="5" t="s">
        <v>192</v>
      </c>
      <c r="P19" s="5" t="s">
        <v>192</v>
      </c>
      <c r="Q19" s="5" t="s">
        <v>192</v>
      </c>
      <c r="R19" s="5" t="s">
        <v>192</v>
      </c>
      <c r="S19" s="9" t="s">
        <v>192</v>
      </c>
      <c r="T19" s="9" t="s">
        <v>192</v>
      </c>
      <c r="U19" s="9" t="s">
        <v>192</v>
      </c>
      <c r="V19" s="9" t="s">
        <v>192</v>
      </c>
      <c r="W19" s="9" t="s">
        <v>192</v>
      </c>
      <c r="X19" s="9">
        <v>2</v>
      </c>
      <c r="Y19" s="9" t="s">
        <v>192</v>
      </c>
      <c r="Z19" s="9" t="s">
        <v>192</v>
      </c>
      <c r="AA19" s="9" t="s">
        <v>192</v>
      </c>
      <c r="AB19" s="9" t="s">
        <v>192</v>
      </c>
      <c r="AC19" s="9" t="s">
        <v>192</v>
      </c>
      <c r="AD19" s="9" t="s">
        <v>192</v>
      </c>
      <c r="AE19" s="9" t="s">
        <v>192</v>
      </c>
      <c r="AF19" s="38">
        <f>SUM(Table4[[#This Row],[Bacteriocin]:[T1PKS]])</f>
        <v>2</v>
      </c>
      <c r="AG19" s="9" t="s">
        <v>624</v>
      </c>
      <c r="AH19" s="9"/>
      <c r="AJ19" s="1" t="str">
        <f>Table4[[#This Row],[NRPS]]</f>
        <v>-</v>
      </c>
      <c r="AK19" s="1" t="str">
        <f>Table4[[#This Row],[T1PKS]]</f>
        <v>-</v>
      </c>
      <c r="AL19" s="1">
        <f>Table4[[#This Row],[NRPS, T1PKS]]</f>
        <v>2</v>
      </c>
      <c r="AM19" s="1" t="str">
        <f>Table4[[#This Row],[Terpene]]</f>
        <v>-</v>
      </c>
      <c r="AN19" s="25">
        <f t="shared" si="0"/>
        <v>0</v>
      </c>
      <c r="AO19" s="25">
        <f t="shared" si="1"/>
        <v>0</v>
      </c>
    </row>
    <row r="20" spans="1:41" x14ac:dyDescent="0.25">
      <c r="A20" s="2" t="s">
        <v>635</v>
      </c>
      <c r="B20" s="2" t="s">
        <v>849</v>
      </c>
      <c r="C20" s="2" t="s">
        <v>850</v>
      </c>
      <c r="D20" s="27">
        <v>431821</v>
      </c>
      <c r="E20" s="5" t="s">
        <v>192</v>
      </c>
      <c r="F20" s="5" t="s">
        <v>192</v>
      </c>
      <c r="G20" s="5" t="s">
        <v>192</v>
      </c>
      <c r="H20" s="5" t="s">
        <v>192</v>
      </c>
      <c r="I20" s="5" t="s">
        <v>192</v>
      </c>
      <c r="J20" s="5" t="s">
        <v>192</v>
      </c>
      <c r="K20" s="5" t="s">
        <v>192</v>
      </c>
      <c r="L20" s="5" t="s">
        <v>192</v>
      </c>
      <c r="M20" s="5" t="s">
        <v>192</v>
      </c>
      <c r="N20" s="5" t="s">
        <v>192</v>
      </c>
      <c r="O20" s="5" t="s">
        <v>192</v>
      </c>
      <c r="P20" s="5" t="s">
        <v>192</v>
      </c>
      <c r="Q20" s="5" t="s">
        <v>192</v>
      </c>
      <c r="R20" s="5" t="s">
        <v>192</v>
      </c>
      <c r="S20" s="2" t="s">
        <v>192</v>
      </c>
      <c r="T20" s="2" t="s">
        <v>192</v>
      </c>
      <c r="U20" s="2" t="s">
        <v>192</v>
      </c>
      <c r="V20" s="2" t="s">
        <v>192</v>
      </c>
      <c r="W20" s="2" t="s">
        <v>192</v>
      </c>
      <c r="X20" s="2">
        <v>1</v>
      </c>
      <c r="Y20" s="2" t="s">
        <v>192</v>
      </c>
      <c r="Z20" s="2" t="s">
        <v>192</v>
      </c>
      <c r="AA20" s="2" t="s">
        <v>192</v>
      </c>
      <c r="AB20" s="2" t="s">
        <v>192</v>
      </c>
      <c r="AC20" s="2" t="s">
        <v>192</v>
      </c>
      <c r="AD20" s="2" t="s">
        <v>192</v>
      </c>
      <c r="AE20" s="2" t="s">
        <v>192</v>
      </c>
      <c r="AF20" s="38">
        <f>SUM(Table4[[#This Row],[Bacteriocin]:[T1PKS]])</f>
        <v>1</v>
      </c>
      <c r="AG20" s="2" t="s">
        <v>192</v>
      </c>
      <c r="AH20" s="36"/>
      <c r="AJ20" s="1" t="str">
        <f>Table4[[#This Row],[NRPS]]</f>
        <v>-</v>
      </c>
      <c r="AK20" s="1" t="str">
        <f>Table4[[#This Row],[T1PKS]]</f>
        <v>-</v>
      </c>
      <c r="AL20" s="1">
        <f>Table4[[#This Row],[NRPS, T1PKS]]</f>
        <v>1</v>
      </c>
      <c r="AM20" s="1" t="str">
        <f>Table4[[#This Row],[Terpene]]</f>
        <v>-</v>
      </c>
      <c r="AN20" s="25">
        <f t="shared" si="0"/>
        <v>0</v>
      </c>
      <c r="AO20" s="25">
        <f t="shared" si="1"/>
        <v>0</v>
      </c>
    </row>
    <row r="21" spans="1:41" x14ac:dyDescent="0.25">
      <c r="A21" s="9" t="s">
        <v>818</v>
      </c>
      <c r="B21" s="2" t="s">
        <v>231</v>
      </c>
      <c r="C21" s="2" t="s">
        <v>851</v>
      </c>
      <c r="D21" s="27">
        <v>312401</v>
      </c>
      <c r="E21" s="5" t="s">
        <v>192</v>
      </c>
      <c r="F21" s="5" t="s">
        <v>192</v>
      </c>
      <c r="G21" s="5" t="s">
        <v>192</v>
      </c>
      <c r="H21" s="5" t="s">
        <v>192</v>
      </c>
      <c r="I21" s="5" t="s">
        <v>192</v>
      </c>
      <c r="J21" s="5" t="s">
        <v>192</v>
      </c>
      <c r="K21" s="5" t="s">
        <v>192</v>
      </c>
      <c r="L21" s="5" t="s">
        <v>192</v>
      </c>
      <c r="M21" s="5" t="s">
        <v>192</v>
      </c>
      <c r="N21" s="5" t="s">
        <v>192</v>
      </c>
      <c r="O21" s="5" t="s">
        <v>192</v>
      </c>
      <c r="P21" s="5" t="s">
        <v>192</v>
      </c>
      <c r="Q21" s="5" t="s">
        <v>192</v>
      </c>
      <c r="R21" s="5" t="s">
        <v>192</v>
      </c>
      <c r="S21" s="9" t="s">
        <v>192</v>
      </c>
      <c r="T21" s="9" t="s">
        <v>192</v>
      </c>
      <c r="U21" s="9" t="s">
        <v>192</v>
      </c>
      <c r="V21" s="9">
        <v>1</v>
      </c>
      <c r="W21" s="9" t="s">
        <v>192</v>
      </c>
      <c r="X21" s="9" t="s">
        <v>192</v>
      </c>
      <c r="Y21" s="9" t="s">
        <v>192</v>
      </c>
      <c r="Z21" s="9" t="s">
        <v>192</v>
      </c>
      <c r="AA21" s="9" t="s">
        <v>192</v>
      </c>
      <c r="AB21" s="9" t="s">
        <v>192</v>
      </c>
      <c r="AC21" s="9" t="s">
        <v>192</v>
      </c>
      <c r="AD21" s="9" t="s">
        <v>192</v>
      </c>
      <c r="AE21" s="9" t="s">
        <v>192</v>
      </c>
      <c r="AF21" s="38">
        <f>SUM(Table4[[#This Row],[Bacteriocin]:[T1PKS]])</f>
        <v>1</v>
      </c>
      <c r="AG21" s="9" t="s">
        <v>192</v>
      </c>
      <c r="AH21" s="9"/>
      <c r="AJ21" s="1" t="str">
        <f>Table4[[#This Row],[NRPS]]</f>
        <v>-</v>
      </c>
      <c r="AK21" s="1" t="str">
        <f>Table4[[#This Row],[T1PKS]]</f>
        <v>-</v>
      </c>
      <c r="AL21" s="1" t="str">
        <f>Table4[[#This Row],[NRPS, T1PKS]]</f>
        <v>-</v>
      </c>
      <c r="AM21" s="1" t="str">
        <f>Table4[[#This Row],[Terpene]]</f>
        <v>-</v>
      </c>
      <c r="AN21" s="25">
        <f t="shared" si="0"/>
        <v>0</v>
      </c>
      <c r="AO21" s="25">
        <f t="shared" si="1"/>
        <v>1</v>
      </c>
    </row>
    <row r="22" spans="1:41" x14ac:dyDescent="0.25">
      <c r="A22" s="9" t="s">
        <v>818</v>
      </c>
      <c r="B22" s="2" t="s">
        <v>224</v>
      </c>
      <c r="C22" s="2" t="s">
        <v>852</v>
      </c>
      <c r="D22" s="27">
        <v>550801</v>
      </c>
      <c r="E22" s="5" t="s">
        <v>192</v>
      </c>
      <c r="F22" s="5" t="s">
        <v>192</v>
      </c>
      <c r="G22" s="5" t="s">
        <v>192</v>
      </c>
      <c r="H22" s="5">
        <v>1</v>
      </c>
      <c r="I22" s="5" t="s">
        <v>192</v>
      </c>
      <c r="J22" s="5" t="s">
        <v>192</v>
      </c>
      <c r="K22" s="5" t="s">
        <v>192</v>
      </c>
      <c r="L22" s="5" t="s">
        <v>192</v>
      </c>
      <c r="M22" s="5" t="s">
        <v>192</v>
      </c>
      <c r="N22" s="5" t="s">
        <v>192</v>
      </c>
      <c r="O22" s="5" t="s">
        <v>192</v>
      </c>
      <c r="P22" s="5" t="s">
        <v>192</v>
      </c>
      <c r="Q22" s="5" t="s">
        <v>192</v>
      </c>
      <c r="R22" s="5" t="s">
        <v>192</v>
      </c>
      <c r="S22" s="9" t="s">
        <v>192</v>
      </c>
      <c r="T22" s="9">
        <v>1</v>
      </c>
      <c r="U22" s="9">
        <v>1</v>
      </c>
      <c r="V22" s="9" t="s">
        <v>192</v>
      </c>
      <c r="W22" s="9" t="s">
        <v>192</v>
      </c>
      <c r="X22" s="9">
        <v>1</v>
      </c>
      <c r="Y22" s="9" t="s">
        <v>192</v>
      </c>
      <c r="Z22" s="9" t="s">
        <v>192</v>
      </c>
      <c r="AA22" s="9" t="s">
        <v>192</v>
      </c>
      <c r="AB22" s="9" t="s">
        <v>192</v>
      </c>
      <c r="AC22" s="9" t="s">
        <v>192</v>
      </c>
      <c r="AD22" s="9" t="s">
        <v>192</v>
      </c>
      <c r="AE22" s="9" t="s">
        <v>192</v>
      </c>
      <c r="AF22" s="38">
        <f>SUM(Table4[[#This Row],[Bacteriocin]:[T1PKS]])</f>
        <v>4</v>
      </c>
      <c r="AG22" s="9" t="s">
        <v>568</v>
      </c>
      <c r="AH22" s="9"/>
      <c r="AJ22" s="1">
        <f>Table4[[#This Row],[NRPS]]</f>
        <v>1</v>
      </c>
      <c r="AK22" s="1" t="str">
        <f>Table4[[#This Row],[T1PKS]]</f>
        <v>-</v>
      </c>
      <c r="AL22" s="1">
        <f>Table4[[#This Row],[NRPS, T1PKS]]</f>
        <v>1</v>
      </c>
      <c r="AM22" s="1" t="str">
        <f>Table4[[#This Row],[Terpene]]</f>
        <v>-</v>
      </c>
      <c r="AN22" s="25">
        <f t="shared" si="0"/>
        <v>0</v>
      </c>
      <c r="AO22" s="25">
        <f t="shared" si="1"/>
        <v>2</v>
      </c>
    </row>
    <row r="23" spans="1:41" x14ac:dyDescent="0.25">
      <c r="A23" s="9" t="s">
        <v>814</v>
      </c>
      <c r="B23" s="2" t="s">
        <v>227</v>
      </c>
      <c r="C23" s="2" t="s">
        <v>853</v>
      </c>
      <c r="D23" s="27">
        <v>175368</v>
      </c>
      <c r="E23" s="5" t="s">
        <v>192</v>
      </c>
      <c r="F23" s="5" t="s">
        <v>192</v>
      </c>
      <c r="G23" s="5" t="s">
        <v>192</v>
      </c>
      <c r="H23" s="5" t="s">
        <v>192</v>
      </c>
      <c r="I23" s="5" t="s">
        <v>192</v>
      </c>
      <c r="J23" s="5" t="s">
        <v>192</v>
      </c>
      <c r="K23" s="5" t="s">
        <v>192</v>
      </c>
      <c r="L23" s="5" t="s">
        <v>192</v>
      </c>
      <c r="M23" s="5" t="s">
        <v>192</v>
      </c>
      <c r="N23" s="5" t="s">
        <v>192</v>
      </c>
      <c r="O23" s="5" t="s">
        <v>192</v>
      </c>
      <c r="P23" s="5" t="s">
        <v>192</v>
      </c>
      <c r="Q23" s="5" t="s">
        <v>192</v>
      </c>
      <c r="R23" s="5" t="s">
        <v>192</v>
      </c>
      <c r="S23" s="9" t="s">
        <v>192</v>
      </c>
      <c r="T23" s="9" t="s">
        <v>192</v>
      </c>
      <c r="U23" s="9" t="s">
        <v>192</v>
      </c>
      <c r="V23" s="9" t="s">
        <v>192</v>
      </c>
      <c r="W23" s="9" t="s">
        <v>192</v>
      </c>
      <c r="X23" s="9" t="s">
        <v>192</v>
      </c>
      <c r="Y23" s="9" t="s">
        <v>192</v>
      </c>
      <c r="Z23" s="9" t="s">
        <v>192</v>
      </c>
      <c r="AA23" s="9" t="s">
        <v>192</v>
      </c>
      <c r="AB23" s="9" t="s">
        <v>192</v>
      </c>
      <c r="AC23" s="9" t="s">
        <v>192</v>
      </c>
      <c r="AD23" s="9" t="s">
        <v>192</v>
      </c>
      <c r="AE23" s="9">
        <v>1</v>
      </c>
      <c r="AF23" s="38">
        <f>SUM(Table4[[#This Row],[Bacteriocin]:[T1PKS]])</f>
        <v>1</v>
      </c>
      <c r="AG23" s="9" t="s">
        <v>192</v>
      </c>
      <c r="AH23" s="9"/>
      <c r="AJ23" s="1" t="str">
        <f>Table4[[#This Row],[NRPS]]</f>
        <v>-</v>
      </c>
      <c r="AK23" s="1">
        <f>Table4[[#This Row],[T1PKS]]</f>
        <v>1</v>
      </c>
      <c r="AL23" s="1" t="str">
        <f>Table4[[#This Row],[NRPS, T1PKS]]</f>
        <v>-</v>
      </c>
      <c r="AM23" s="1" t="str">
        <f>Table4[[#This Row],[Terpene]]</f>
        <v>-</v>
      </c>
      <c r="AN23" s="25">
        <f t="shared" si="0"/>
        <v>0</v>
      </c>
      <c r="AO23" s="25">
        <f t="shared" si="1"/>
        <v>0</v>
      </c>
    </row>
    <row r="24" spans="1:41" x14ac:dyDescent="0.25">
      <c r="A24" s="9" t="s">
        <v>639</v>
      </c>
      <c r="B24" s="2" t="s">
        <v>854</v>
      </c>
      <c r="C24" s="2" t="s">
        <v>855</v>
      </c>
      <c r="D24" s="27">
        <v>937246</v>
      </c>
      <c r="E24" s="5" t="s">
        <v>192</v>
      </c>
      <c r="F24" s="5" t="s">
        <v>192</v>
      </c>
      <c r="G24" s="5" t="s">
        <v>192</v>
      </c>
      <c r="H24" s="5" t="s">
        <v>192</v>
      </c>
      <c r="I24" s="5" t="s">
        <v>192</v>
      </c>
      <c r="J24" s="5" t="s">
        <v>192</v>
      </c>
      <c r="K24" s="5">
        <v>1</v>
      </c>
      <c r="L24" s="5" t="s">
        <v>192</v>
      </c>
      <c r="M24" s="5" t="s">
        <v>192</v>
      </c>
      <c r="N24" s="5" t="s">
        <v>192</v>
      </c>
      <c r="O24" s="5" t="s">
        <v>192</v>
      </c>
      <c r="P24" s="5" t="s">
        <v>192</v>
      </c>
      <c r="Q24" s="5" t="s">
        <v>192</v>
      </c>
      <c r="R24" s="5" t="s">
        <v>192</v>
      </c>
      <c r="S24" s="2" t="s">
        <v>192</v>
      </c>
      <c r="T24" s="2" t="s">
        <v>192</v>
      </c>
      <c r="U24" s="2" t="s">
        <v>192</v>
      </c>
      <c r="V24" s="2" t="s">
        <v>192</v>
      </c>
      <c r="W24" s="2" t="s">
        <v>192</v>
      </c>
      <c r="X24" s="2">
        <v>2</v>
      </c>
      <c r="Y24" s="2" t="s">
        <v>192</v>
      </c>
      <c r="Z24" s="2" t="s">
        <v>192</v>
      </c>
      <c r="AA24" s="2" t="s">
        <v>192</v>
      </c>
      <c r="AB24" s="2" t="s">
        <v>192</v>
      </c>
      <c r="AC24" s="2" t="s">
        <v>192</v>
      </c>
      <c r="AD24" s="2" t="s">
        <v>192</v>
      </c>
      <c r="AE24" s="2" t="s">
        <v>192</v>
      </c>
      <c r="AF24" s="38">
        <f>SUM(Table4[[#This Row],[Bacteriocin]:[T1PKS]])</f>
        <v>3</v>
      </c>
      <c r="AG24" s="2" t="s">
        <v>192</v>
      </c>
      <c r="AH24" s="36"/>
      <c r="AJ24" s="1" t="str">
        <f>Table4[[#This Row],[NRPS]]</f>
        <v>-</v>
      </c>
      <c r="AK24" s="1" t="str">
        <f>Table4[[#This Row],[T1PKS]]</f>
        <v>-</v>
      </c>
      <c r="AL24" s="1">
        <f>Table4[[#This Row],[NRPS, T1PKS]]</f>
        <v>2</v>
      </c>
      <c r="AM24" s="1" t="str">
        <f>Table4[[#This Row],[Terpene]]</f>
        <v>-</v>
      </c>
      <c r="AN24" s="25">
        <f t="shared" si="0"/>
        <v>1</v>
      </c>
      <c r="AO24" s="25">
        <f t="shared" si="1"/>
        <v>0</v>
      </c>
    </row>
    <row r="25" spans="1:41" x14ac:dyDescent="0.25">
      <c r="A25" s="9" t="s">
        <v>632</v>
      </c>
      <c r="B25" s="2" t="s">
        <v>856</v>
      </c>
      <c r="C25" s="2" t="s">
        <v>857</v>
      </c>
      <c r="D25" s="27">
        <v>328635</v>
      </c>
      <c r="E25" s="5" t="s">
        <v>192</v>
      </c>
      <c r="F25" s="5" t="s">
        <v>192</v>
      </c>
      <c r="G25" s="5" t="s">
        <v>192</v>
      </c>
      <c r="H25" s="5" t="s">
        <v>192</v>
      </c>
      <c r="I25" s="5" t="s">
        <v>192</v>
      </c>
      <c r="J25" s="5" t="s">
        <v>192</v>
      </c>
      <c r="K25" s="5" t="s">
        <v>192</v>
      </c>
      <c r="L25" s="5" t="s">
        <v>192</v>
      </c>
      <c r="M25" s="5" t="s">
        <v>192</v>
      </c>
      <c r="N25" s="5" t="s">
        <v>192</v>
      </c>
      <c r="O25" s="5" t="s">
        <v>192</v>
      </c>
      <c r="P25" s="5" t="s">
        <v>192</v>
      </c>
      <c r="Q25" s="5" t="s">
        <v>192</v>
      </c>
      <c r="R25" s="5" t="s">
        <v>192</v>
      </c>
      <c r="S25" s="2" t="s">
        <v>192</v>
      </c>
      <c r="T25" s="2" t="s">
        <v>192</v>
      </c>
      <c r="U25" s="2">
        <v>2</v>
      </c>
      <c r="V25" s="2" t="s">
        <v>192</v>
      </c>
      <c r="W25" s="2" t="s">
        <v>192</v>
      </c>
      <c r="X25" s="2" t="s">
        <v>192</v>
      </c>
      <c r="Y25" s="2" t="s">
        <v>192</v>
      </c>
      <c r="Z25" s="2" t="s">
        <v>192</v>
      </c>
      <c r="AA25" s="2" t="s">
        <v>192</v>
      </c>
      <c r="AB25" s="2" t="s">
        <v>192</v>
      </c>
      <c r="AC25" s="2" t="s">
        <v>192</v>
      </c>
      <c r="AD25" s="2" t="s">
        <v>192</v>
      </c>
      <c r="AE25" s="2" t="s">
        <v>192</v>
      </c>
      <c r="AF25" s="38">
        <f>SUM(Table4[[#This Row],[Bacteriocin]:[T1PKS]])</f>
        <v>2</v>
      </c>
      <c r="AG25" s="2" t="s">
        <v>486</v>
      </c>
      <c r="AH25" s="36"/>
      <c r="AJ25" s="1">
        <f>Table4[[#This Row],[NRPS]]</f>
        <v>2</v>
      </c>
      <c r="AK25" s="1" t="str">
        <f>Table4[[#This Row],[T1PKS]]</f>
        <v>-</v>
      </c>
      <c r="AL25" s="1" t="str">
        <f>Table4[[#This Row],[NRPS, T1PKS]]</f>
        <v>-</v>
      </c>
      <c r="AM25" s="1" t="str">
        <f>Table4[[#This Row],[Terpene]]</f>
        <v>-</v>
      </c>
      <c r="AN25" s="25">
        <f t="shared" si="0"/>
        <v>0</v>
      </c>
      <c r="AO25" s="25">
        <f t="shared" si="1"/>
        <v>0</v>
      </c>
    </row>
    <row r="26" spans="1:41" x14ac:dyDescent="0.25">
      <c r="A26" s="9" t="s">
        <v>633</v>
      </c>
      <c r="B26" s="2" t="s">
        <v>858</v>
      </c>
      <c r="C26" s="2" t="s">
        <v>859</v>
      </c>
      <c r="D26" s="27">
        <v>473846</v>
      </c>
      <c r="E26" s="5" t="s">
        <v>192</v>
      </c>
      <c r="F26" s="5" t="s">
        <v>192</v>
      </c>
      <c r="G26" s="5" t="s">
        <v>192</v>
      </c>
      <c r="H26" s="5" t="s">
        <v>192</v>
      </c>
      <c r="I26" s="5" t="s">
        <v>192</v>
      </c>
      <c r="J26" s="5" t="s">
        <v>192</v>
      </c>
      <c r="K26" s="5" t="s">
        <v>192</v>
      </c>
      <c r="L26" s="5">
        <v>1</v>
      </c>
      <c r="M26" s="5" t="s">
        <v>192</v>
      </c>
      <c r="N26" s="5" t="s">
        <v>192</v>
      </c>
      <c r="O26" s="5" t="s">
        <v>192</v>
      </c>
      <c r="P26" s="5" t="s">
        <v>192</v>
      </c>
      <c r="Q26" s="5" t="s">
        <v>192</v>
      </c>
      <c r="R26" s="5" t="s">
        <v>192</v>
      </c>
      <c r="S26" s="2" t="s">
        <v>192</v>
      </c>
      <c r="T26" s="2" t="s">
        <v>192</v>
      </c>
      <c r="U26" s="2" t="s">
        <v>192</v>
      </c>
      <c r="V26" s="2" t="s">
        <v>192</v>
      </c>
      <c r="W26" s="2" t="s">
        <v>192</v>
      </c>
      <c r="X26" s="2" t="s">
        <v>192</v>
      </c>
      <c r="Y26" s="2">
        <v>1</v>
      </c>
      <c r="Z26" s="2" t="s">
        <v>192</v>
      </c>
      <c r="AA26" s="2" t="s">
        <v>192</v>
      </c>
      <c r="AB26" s="2" t="s">
        <v>192</v>
      </c>
      <c r="AC26" s="2" t="s">
        <v>192</v>
      </c>
      <c r="AD26" s="2" t="s">
        <v>192</v>
      </c>
      <c r="AE26" s="2" t="s">
        <v>192</v>
      </c>
      <c r="AF26" s="38">
        <f>SUM(Table4[[#This Row],[Bacteriocin]:[T1PKS]])</f>
        <v>2</v>
      </c>
      <c r="AG26" s="2" t="s">
        <v>192</v>
      </c>
      <c r="AH26" s="36"/>
      <c r="AJ26" s="1" t="str">
        <f>Table4[[#This Row],[NRPS]]</f>
        <v>-</v>
      </c>
      <c r="AK26" s="1" t="str">
        <f>Table4[[#This Row],[T1PKS]]</f>
        <v>-</v>
      </c>
      <c r="AL26" s="1" t="str">
        <f>Table4[[#This Row],[NRPS, T1PKS]]</f>
        <v>-</v>
      </c>
      <c r="AM26" s="1" t="str">
        <f>Table4[[#This Row],[Terpene]]</f>
        <v>-</v>
      </c>
      <c r="AN26" s="25">
        <f t="shared" si="0"/>
        <v>1</v>
      </c>
      <c r="AO26" s="25">
        <f t="shared" si="1"/>
        <v>1</v>
      </c>
    </row>
    <row r="27" spans="1:41" x14ac:dyDescent="0.25">
      <c r="A27" s="9" t="s">
        <v>633</v>
      </c>
      <c r="B27" s="2" t="s">
        <v>860</v>
      </c>
      <c r="C27" s="2" t="s">
        <v>861</v>
      </c>
      <c r="D27" s="28">
        <v>879545</v>
      </c>
      <c r="E27" s="7" t="s">
        <v>192</v>
      </c>
      <c r="F27" s="7" t="s">
        <v>192</v>
      </c>
      <c r="G27" s="7" t="s">
        <v>192</v>
      </c>
      <c r="H27" s="7" t="s">
        <v>192</v>
      </c>
      <c r="I27" s="7" t="s">
        <v>192</v>
      </c>
      <c r="J27" s="7" t="s">
        <v>192</v>
      </c>
      <c r="K27" s="7" t="s">
        <v>192</v>
      </c>
      <c r="L27" s="7" t="s">
        <v>192</v>
      </c>
      <c r="M27" s="7">
        <v>1</v>
      </c>
      <c r="N27" s="7" t="s">
        <v>192</v>
      </c>
      <c r="O27" s="7" t="s">
        <v>192</v>
      </c>
      <c r="P27" s="7" t="s">
        <v>192</v>
      </c>
      <c r="Q27" s="7">
        <v>1</v>
      </c>
      <c r="R27" s="7" t="s">
        <v>192</v>
      </c>
      <c r="S27" s="9" t="s">
        <v>192</v>
      </c>
      <c r="T27" s="9" t="s">
        <v>192</v>
      </c>
      <c r="U27" s="9">
        <v>2</v>
      </c>
      <c r="V27" s="9" t="s">
        <v>192</v>
      </c>
      <c r="W27" s="9" t="s">
        <v>192</v>
      </c>
      <c r="X27" s="9">
        <v>1</v>
      </c>
      <c r="Y27" s="9" t="s">
        <v>192</v>
      </c>
      <c r="Z27" s="9" t="s">
        <v>192</v>
      </c>
      <c r="AA27" s="9" t="s">
        <v>192</v>
      </c>
      <c r="AB27" s="9" t="s">
        <v>192</v>
      </c>
      <c r="AC27" s="9" t="s">
        <v>192</v>
      </c>
      <c r="AD27" s="9" t="s">
        <v>192</v>
      </c>
      <c r="AE27" s="9" t="s">
        <v>192</v>
      </c>
      <c r="AF27" s="38">
        <f>SUM(Table4[[#This Row],[Bacteriocin]:[T1PKS]])</f>
        <v>5</v>
      </c>
      <c r="AG27" s="2" t="s">
        <v>486</v>
      </c>
      <c r="AH27" s="36"/>
      <c r="AJ27" s="1">
        <f>Table4[[#This Row],[NRPS]]</f>
        <v>2</v>
      </c>
      <c r="AK27" s="1" t="str">
        <f>Table4[[#This Row],[T1PKS]]</f>
        <v>-</v>
      </c>
      <c r="AL27" s="1">
        <f>Table4[[#This Row],[NRPS, T1PKS]]</f>
        <v>1</v>
      </c>
      <c r="AM27" s="1" t="str">
        <f>Table4[[#This Row],[Terpene]]</f>
        <v>-</v>
      </c>
      <c r="AN27" s="25">
        <f t="shared" si="0"/>
        <v>1</v>
      </c>
      <c r="AO27" s="25">
        <f t="shared" si="1"/>
        <v>1</v>
      </c>
    </row>
    <row r="28" spans="1:41" x14ac:dyDescent="0.25">
      <c r="A28" s="9" t="s">
        <v>642</v>
      </c>
      <c r="B28" s="2" t="s">
        <v>290</v>
      </c>
      <c r="C28" s="2" t="s">
        <v>862</v>
      </c>
      <c r="D28" s="27">
        <v>1111190</v>
      </c>
      <c r="E28" s="5" t="s">
        <v>192</v>
      </c>
      <c r="F28" s="5" t="s">
        <v>192</v>
      </c>
      <c r="G28" s="5" t="s">
        <v>192</v>
      </c>
      <c r="H28" s="5" t="s">
        <v>192</v>
      </c>
      <c r="I28" s="5" t="s">
        <v>192</v>
      </c>
      <c r="J28" s="5" t="s">
        <v>192</v>
      </c>
      <c r="K28" s="5" t="s">
        <v>192</v>
      </c>
      <c r="L28" s="5" t="s">
        <v>192</v>
      </c>
      <c r="M28" s="5" t="s">
        <v>192</v>
      </c>
      <c r="N28" s="5" t="s">
        <v>192</v>
      </c>
      <c r="O28" s="5" t="s">
        <v>192</v>
      </c>
      <c r="P28" s="5" t="s">
        <v>192</v>
      </c>
      <c r="Q28" s="5" t="s">
        <v>192</v>
      </c>
      <c r="R28" s="5" t="s">
        <v>192</v>
      </c>
      <c r="S28" s="9" t="s">
        <v>192</v>
      </c>
      <c r="T28" s="9" t="s">
        <v>192</v>
      </c>
      <c r="U28" s="9" t="s">
        <v>192</v>
      </c>
      <c r="V28" s="9" t="s">
        <v>192</v>
      </c>
      <c r="W28" s="9" t="s">
        <v>192</v>
      </c>
      <c r="X28" s="2">
        <v>1</v>
      </c>
      <c r="Y28" s="9" t="s">
        <v>192</v>
      </c>
      <c r="Z28" s="9" t="s">
        <v>192</v>
      </c>
      <c r="AA28" s="9" t="s">
        <v>192</v>
      </c>
      <c r="AB28" s="9" t="s">
        <v>192</v>
      </c>
      <c r="AC28" s="9" t="s">
        <v>192</v>
      </c>
      <c r="AD28" s="9" t="s">
        <v>192</v>
      </c>
      <c r="AE28" s="9" t="s">
        <v>192</v>
      </c>
      <c r="AF28" s="38">
        <f>SUM(Table4[[#This Row],[Bacteriocin]:[T1PKS]])</f>
        <v>1</v>
      </c>
      <c r="AG28" s="9" t="s">
        <v>192</v>
      </c>
      <c r="AH28" s="9"/>
      <c r="AJ28" s="1" t="str">
        <f>Table4[[#This Row],[NRPS]]</f>
        <v>-</v>
      </c>
      <c r="AK28" s="1" t="str">
        <f>Table4[[#This Row],[T1PKS]]</f>
        <v>-</v>
      </c>
      <c r="AL28" s="1">
        <f>Table4[[#This Row],[NRPS, T1PKS]]</f>
        <v>1</v>
      </c>
      <c r="AM28" s="1" t="str">
        <f>Table4[[#This Row],[Terpene]]</f>
        <v>-</v>
      </c>
      <c r="AN28" s="25">
        <f t="shared" si="0"/>
        <v>0</v>
      </c>
      <c r="AO28" s="25">
        <f t="shared" si="1"/>
        <v>0</v>
      </c>
    </row>
    <row r="29" spans="1:41" x14ac:dyDescent="0.25">
      <c r="A29" s="9" t="s">
        <v>815</v>
      </c>
      <c r="B29" s="2" t="s">
        <v>231</v>
      </c>
      <c r="C29" s="2" t="s">
        <v>863</v>
      </c>
      <c r="D29" s="27">
        <v>553673</v>
      </c>
      <c r="E29" s="5" t="s">
        <v>192</v>
      </c>
      <c r="F29" s="5" t="s">
        <v>192</v>
      </c>
      <c r="G29" s="5" t="s">
        <v>192</v>
      </c>
      <c r="H29" s="5" t="s">
        <v>192</v>
      </c>
      <c r="I29" s="5" t="s">
        <v>192</v>
      </c>
      <c r="J29" s="5" t="s">
        <v>192</v>
      </c>
      <c r="K29" s="5" t="s">
        <v>192</v>
      </c>
      <c r="L29" s="5" t="s">
        <v>192</v>
      </c>
      <c r="M29" s="5" t="s">
        <v>192</v>
      </c>
      <c r="N29" s="5" t="s">
        <v>192</v>
      </c>
      <c r="O29" s="5" t="s">
        <v>192</v>
      </c>
      <c r="P29" s="5" t="s">
        <v>192</v>
      </c>
      <c r="Q29" s="5" t="s">
        <v>192</v>
      </c>
      <c r="R29" s="5" t="s">
        <v>192</v>
      </c>
      <c r="S29" s="9" t="s">
        <v>192</v>
      </c>
      <c r="T29" s="9" t="s">
        <v>192</v>
      </c>
      <c r="U29" s="9" t="s">
        <v>192</v>
      </c>
      <c r="V29" s="9" t="s">
        <v>192</v>
      </c>
      <c r="W29" s="9" t="s">
        <v>192</v>
      </c>
      <c r="X29" s="9">
        <v>1</v>
      </c>
      <c r="Y29" s="9" t="s">
        <v>192</v>
      </c>
      <c r="Z29" s="9" t="s">
        <v>192</v>
      </c>
      <c r="AA29" s="9" t="s">
        <v>192</v>
      </c>
      <c r="AB29" s="9" t="s">
        <v>192</v>
      </c>
      <c r="AC29" s="9" t="s">
        <v>192</v>
      </c>
      <c r="AD29" s="9" t="s">
        <v>192</v>
      </c>
      <c r="AE29" s="9" t="s">
        <v>192</v>
      </c>
      <c r="AF29" s="38">
        <f>SUM(Table4[[#This Row],[Bacteriocin]:[T1PKS]])</f>
        <v>1</v>
      </c>
      <c r="AG29" s="9" t="s">
        <v>192</v>
      </c>
      <c r="AH29" s="9"/>
      <c r="AJ29" s="1" t="str">
        <f>Table4[[#This Row],[NRPS]]</f>
        <v>-</v>
      </c>
      <c r="AK29" s="1" t="str">
        <f>Table4[[#This Row],[T1PKS]]</f>
        <v>-</v>
      </c>
      <c r="AL29" s="1">
        <f>Table4[[#This Row],[NRPS, T1PKS]]</f>
        <v>1</v>
      </c>
      <c r="AM29" s="1" t="str">
        <f>Table4[[#This Row],[Terpene]]</f>
        <v>-</v>
      </c>
      <c r="AN29" s="25">
        <f t="shared" si="0"/>
        <v>0</v>
      </c>
      <c r="AO29" s="25">
        <f t="shared" si="1"/>
        <v>0</v>
      </c>
    </row>
    <row r="30" spans="1:41" x14ac:dyDescent="0.25">
      <c r="A30" s="9" t="s">
        <v>645</v>
      </c>
      <c r="B30" s="2" t="s">
        <v>231</v>
      </c>
      <c r="C30" s="2" t="s">
        <v>864</v>
      </c>
      <c r="D30" s="27">
        <v>98206</v>
      </c>
      <c r="E30" s="5" t="s">
        <v>192</v>
      </c>
      <c r="F30" s="5" t="s">
        <v>192</v>
      </c>
      <c r="G30" s="5" t="s">
        <v>192</v>
      </c>
      <c r="H30" s="5" t="s">
        <v>192</v>
      </c>
      <c r="I30" s="5" t="s">
        <v>192</v>
      </c>
      <c r="J30" s="5" t="s">
        <v>192</v>
      </c>
      <c r="K30" s="5" t="s">
        <v>192</v>
      </c>
      <c r="L30" s="5" t="s">
        <v>192</v>
      </c>
      <c r="M30" s="5" t="s">
        <v>192</v>
      </c>
      <c r="N30" s="5" t="s">
        <v>192</v>
      </c>
      <c r="O30" s="5" t="s">
        <v>192</v>
      </c>
      <c r="P30" s="5" t="s">
        <v>192</v>
      </c>
      <c r="Q30" s="5" t="s">
        <v>192</v>
      </c>
      <c r="R30" s="5" t="s">
        <v>192</v>
      </c>
      <c r="S30" s="9" t="s">
        <v>192</v>
      </c>
      <c r="T30" s="9" t="s">
        <v>192</v>
      </c>
      <c r="U30" s="9">
        <v>1</v>
      </c>
      <c r="V30" s="9" t="s">
        <v>192</v>
      </c>
      <c r="W30" s="9" t="s">
        <v>192</v>
      </c>
      <c r="X30" s="9">
        <v>1</v>
      </c>
      <c r="Y30" s="9" t="s">
        <v>192</v>
      </c>
      <c r="Z30" s="9" t="s">
        <v>192</v>
      </c>
      <c r="AA30" s="9" t="s">
        <v>192</v>
      </c>
      <c r="AB30" s="9" t="s">
        <v>192</v>
      </c>
      <c r="AC30" s="9" t="s">
        <v>192</v>
      </c>
      <c r="AD30" s="9" t="s">
        <v>192</v>
      </c>
      <c r="AE30" s="9" t="s">
        <v>192</v>
      </c>
      <c r="AF30" s="38">
        <f>SUM(Table4[[#This Row],[Bacteriocin]:[T1PKS]])</f>
        <v>2</v>
      </c>
      <c r="AG30" s="9" t="s">
        <v>192</v>
      </c>
      <c r="AH30" s="9"/>
      <c r="AJ30" s="1">
        <f>Table4[[#This Row],[NRPS]]</f>
        <v>1</v>
      </c>
      <c r="AK30" s="1" t="str">
        <f>Table4[[#This Row],[T1PKS]]</f>
        <v>-</v>
      </c>
      <c r="AL30" s="1">
        <f>Table4[[#This Row],[NRPS, T1PKS]]</f>
        <v>1</v>
      </c>
      <c r="AM30" s="1" t="str">
        <f>Table4[[#This Row],[Terpene]]</f>
        <v>-</v>
      </c>
      <c r="AN30" s="25">
        <f t="shared" si="0"/>
        <v>0</v>
      </c>
      <c r="AO30" s="25">
        <f t="shared" si="1"/>
        <v>0</v>
      </c>
    </row>
    <row r="31" spans="1:41" x14ac:dyDescent="0.25">
      <c r="A31" s="9" t="s">
        <v>652</v>
      </c>
      <c r="B31" s="2" t="s">
        <v>231</v>
      </c>
      <c r="C31" s="2" t="s">
        <v>865</v>
      </c>
      <c r="D31" s="27">
        <v>221468</v>
      </c>
      <c r="E31" s="5" t="s">
        <v>192</v>
      </c>
      <c r="F31" s="5" t="s">
        <v>192</v>
      </c>
      <c r="G31" s="5" t="s">
        <v>192</v>
      </c>
      <c r="H31" s="5" t="s">
        <v>192</v>
      </c>
      <c r="I31" s="5" t="s">
        <v>192</v>
      </c>
      <c r="J31" s="5" t="s">
        <v>192</v>
      </c>
      <c r="K31" s="5" t="s">
        <v>192</v>
      </c>
      <c r="L31" s="5" t="s">
        <v>192</v>
      </c>
      <c r="M31" s="5" t="s">
        <v>192</v>
      </c>
      <c r="N31" s="5" t="s">
        <v>192</v>
      </c>
      <c r="O31" s="5" t="s">
        <v>192</v>
      </c>
      <c r="P31" s="5" t="s">
        <v>192</v>
      </c>
      <c r="Q31" s="5" t="s">
        <v>192</v>
      </c>
      <c r="R31" s="5" t="s">
        <v>192</v>
      </c>
      <c r="S31" s="9" t="s">
        <v>192</v>
      </c>
      <c r="T31" s="9" t="s">
        <v>192</v>
      </c>
      <c r="U31" s="9">
        <v>1</v>
      </c>
      <c r="V31" s="9" t="s">
        <v>192</v>
      </c>
      <c r="W31" s="9" t="s">
        <v>192</v>
      </c>
      <c r="X31" s="9" t="s">
        <v>192</v>
      </c>
      <c r="Y31" s="9" t="s">
        <v>192</v>
      </c>
      <c r="Z31" s="9" t="s">
        <v>192</v>
      </c>
      <c r="AA31" s="9" t="s">
        <v>192</v>
      </c>
      <c r="AB31" s="9" t="s">
        <v>192</v>
      </c>
      <c r="AC31" s="9" t="s">
        <v>192</v>
      </c>
      <c r="AD31" s="9" t="s">
        <v>192</v>
      </c>
      <c r="AE31" s="9" t="s">
        <v>192</v>
      </c>
      <c r="AF31" s="38">
        <f>SUM(Table4[[#This Row],[Bacteriocin]:[T1PKS]])</f>
        <v>1</v>
      </c>
      <c r="AG31" s="9" t="s">
        <v>192</v>
      </c>
      <c r="AH31" s="9"/>
      <c r="AJ31" s="1">
        <f>Table4[[#This Row],[NRPS]]</f>
        <v>1</v>
      </c>
      <c r="AK31" s="1" t="str">
        <f>Table4[[#This Row],[T1PKS]]</f>
        <v>-</v>
      </c>
      <c r="AL31" s="1" t="str">
        <f>Table4[[#This Row],[NRPS, T1PKS]]</f>
        <v>-</v>
      </c>
      <c r="AM31" s="1" t="str">
        <f>Table4[[#This Row],[Terpene]]</f>
        <v>-</v>
      </c>
      <c r="AN31" s="25">
        <f t="shared" si="0"/>
        <v>0</v>
      </c>
      <c r="AO31" s="25">
        <f t="shared" si="1"/>
        <v>0</v>
      </c>
    </row>
    <row r="32" spans="1:41" x14ac:dyDescent="0.25">
      <c r="A32" s="9" t="s">
        <v>652</v>
      </c>
      <c r="B32" s="2" t="s">
        <v>198</v>
      </c>
      <c r="C32" s="2" t="s">
        <v>866</v>
      </c>
      <c r="D32" s="27">
        <v>231372</v>
      </c>
      <c r="E32" s="5" t="s">
        <v>192</v>
      </c>
      <c r="F32" s="5" t="s">
        <v>192</v>
      </c>
      <c r="G32" s="5" t="s">
        <v>192</v>
      </c>
      <c r="H32" s="5" t="s">
        <v>192</v>
      </c>
      <c r="I32" s="5" t="s">
        <v>192</v>
      </c>
      <c r="J32" s="5" t="s">
        <v>192</v>
      </c>
      <c r="K32" s="5" t="s">
        <v>192</v>
      </c>
      <c r="L32" s="5" t="s">
        <v>192</v>
      </c>
      <c r="M32" s="5" t="s">
        <v>192</v>
      </c>
      <c r="N32" s="5" t="s">
        <v>192</v>
      </c>
      <c r="O32" s="5" t="s">
        <v>192</v>
      </c>
      <c r="P32" s="5" t="s">
        <v>192</v>
      </c>
      <c r="Q32" s="5" t="s">
        <v>192</v>
      </c>
      <c r="R32" s="5" t="s">
        <v>192</v>
      </c>
      <c r="S32" s="9" t="s">
        <v>192</v>
      </c>
      <c r="T32" s="9" t="s">
        <v>192</v>
      </c>
      <c r="U32" s="9">
        <v>2</v>
      </c>
      <c r="V32" s="9" t="s">
        <v>192</v>
      </c>
      <c r="W32" s="9" t="s">
        <v>192</v>
      </c>
      <c r="X32" s="9" t="s">
        <v>192</v>
      </c>
      <c r="Y32" s="9" t="s">
        <v>192</v>
      </c>
      <c r="Z32" s="9" t="s">
        <v>192</v>
      </c>
      <c r="AA32" s="9" t="s">
        <v>192</v>
      </c>
      <c r="AB32" s="9" t="s">
        <v>192</v>
      </c>
      <c r="AC32" s="9" t="s">
        <v>192</v>
      </c>
      <c r="AD32" s="9" t="s">
        <v>192</v>
      </c>
      <c r="AE32" s="9" t="s">
        <v>192</v>
      </c>
      <c r="AF32" s="38">
        <f>SUM(Table4[[#This Row],[Bacteriocin]:[T1PKS]])</f>
        <v>2</v>
      </c>
      <c r="AG32" s="9" t="s">
        <v>192</v>
      </c>
      <c r="AH32" s="9"/>
      <c r="AJ32" s="1">
        <f>Table4[[#This Row],[NRPS]]</f>
        <v>2</v>
      </c>
      <c r="AK32" s="1" t="str">
        <f>Table4[[#This Row],[T1PKS]]</f>
        <v>-</v>
      </c>
      <c r="AL32" s="1" t="str">
        <f>Table4[[#This Row],[NRPS, T1PKS]]</f>
        <v>-</v>
      </c>
      <c r="AM32" s="1" t="str">
        <f>Table4[[#This Row],[Terpene]]</f>
        <v>-</v>
      </c>
      <c r="AN32" s="25">
        <f t="shared" si="0"/>
        <v>0</v>
      </c>
      <c r="AO32" s="25">
        <f t="shared" si="1"/>
        <v>0</v>
      </c>
    </row>
    <row r="33" spans="1:41" x14ac:dyDescent="0.25">
      <c r="A33" s="9" t="s">
        <v>918</v>
      </c>
      <c r="B33" s="2" t="s">
        <v>224</v>
      </c>
      <c r="C33" s="2" t="s">
        <v>867</v>
      </c>
      <c r="D33" s="27">
        <v>865749</v>
      </c>
      <c r="E33" s="5">
        <v>2</v>
      </c>
      <c r="F33" s="5" t="s">
        <v>192</v>
      </c>
      <c r="G33" s="5" t="s">
        <v>192</v>
      </c>
      <c r="H33" s="5" t="s">
        <v>192</v>
      </c>
      <c r="I33" s="5" t="s">
        <v>192</v>
      </c>
      <c r="J33" s="5" t="s">
        <v>192</v>
      </c>
      <c r="K33" s="5" t="s">
        <v>192</v>
      </c>
      <c r="L33" s="5" t="s">
        <v>192</v>
      </c>
      <c r="M33" s="5" t="s">
        <v>192</v>
      </c>
      <c r="N33" s="5" t="s">
        <v>192</v>
      </c>
      <c r="O33" s="5" t="s">
        <v>192</v>
      </c>
      <c r="P33" s="5" t="s">
        <v>192</v>
      </c>
      <c r="Q33" s="5" t="s">
        <v>192</v>
      </c>
      <c r="R33" s="5" t="s">
        <v>192</v>
      </c>
      <c r="S33" s="9" t="s">
        <v>192</v>
      </c>
      <c r="T33" s="9" t="s">
        <v>192</v>
      </c>
      <c r="U33" s="9" t="s">
        <v>192</v>
      </c>
      <c r="V33" s="9" t="s">
        <v>192</v>
      </c>
      <c r="W33" s="9" t="s">
        <v>192</v>
      </c>
      <c r="X33" s="9" t="s">
        <v>192</v>
      </c>
      <c r="Y33" s="9" t="s">
        <v>192</v>
      </c>
      <c r="Z33" s="9" t="s">
        <v>192</v>
      </c>
      <c r="AA33" s="9" t="s">
        <v>192</v>
      </c>
      <c r="AB33" s="9" t="s">
        <v>192</v>
      </c>
      <c r="AC33" s="9" t="s">
        <v>192</v>
      </c>
      <c r="AD33" s="9" t="s">
        <v>192</v>
      </c>
      <c r="AE33" s="9" t="s">
        <v>192</v>
      </c>
      <c r="AF33" s="38">
        <f>SUM(Table4[[#This Row],[Bacteriocin]:[T1PKS]])</f>
        <v>2</v>
      </c>
      <c r="AG33" s="9" t="s">
        <v>192</v>
      </c>
      <c r="AH33" s="9"/>
      <c r="AJ33" s="1" t="str">
        <f>Table4[[#This Row],[NRPS]]</f>
        <v>-</v>
      </c>
      <c r="AK33" s="1" t="str">
        <f>Table4[[#This Row],[T1PKS]]</f>
        <v>-</v>
      </c>
      <c r="AL33" s="1" t="str">
        <f>Table4[[#This Row],[NRPS, T1PKS]]</f>
        <v>-</v>
      </c>
      <c r="AM33" s="1" t="str">
        <f>Table4[[#This Row],[Terpene]]</f>
        <v>-</v>
      </c>
      <c r="AN33" s="25">
        <f t="shared" si="0"/>
        <v>2</v>
      </c>
      <c r="AO33" s="25">
        <f t="shared" si="1"/>
        <v>0</v>
      </c>
    </row>
    <row r="34" spans="1:41" x14ac:dyDescent="0.25">
      <c r="A34" s="9" t="s">
        <v>659</v>
      </c>
      <c r="B34" s="2" t="s">
        <v>868</v>
      </c>
      <c r="C34" s="2" t="s">
        <v>869</v>
      </c>
      <c r="D34" s="27">
        <v>144585</v>
      </c>
      <c r="E34" s="5" t="s">
        <v>192</v>
      </c>
      <c r="F34" s="5" t="s">
        <v>192</v>
      </c>
      <c r="G34" s="5" t="s">
        <v>192</v>
      </c>
      <c r="H34" s="5" t="s">
        <v>192</v>
      </c>
      <c r="I34" s="5" t="s">
        <v>192</v>
      </c>
      <c r="J34" s="5" t="s">
        <v>192</v>
      </c>
      <c r="K34" s="5" t="s">
        <v>192</v>
      </c>
      <c r="L34" s="5" t="s">
        <v>192</v>
      </c>
      <c r="M34" s="5" t="s">
        <v>192</v>
      </c>
      <c r="N34" s="5" t="s">
        <v>192</v>
      </c>
      <c r="O34" s="5" t="s">
        <v>192</v>
      </c>
      <c r="P34" s="5" t="s">
        <v>192</v>
      </c>
      <c r="Q34" s="5" t="s">
        <v>192</v>
      </c>
      <c r="R34" s="5" t="s">
        <v>192</v>
      </c>
      <c r="S34" s="9" t="s">
        <v>192</v>
      </c>
      <c r="T34" s="9" t="s">
        <v>192</v>
      </c>
      <c r="U34" s="9" t="s">
        <v>192</v>
      </c>
      <c r="V34" s="9" t="s">
        <v>192</v>
      </c>
      <c r="W34" s="9" t="s">
        <v>192</v>
      </c>
      <c r="X34" s="9">
        <v>1</v>
      </c>
      <c r="Y34" s="9" t="s">
        <v>192</v>
      </c>
      <c r="Z34" s="9" t="s">
        <v>192</v>
      </c>
      <c r="AA34" s="9" t="s">
        <v>192</v>
      </c>
      <c r="AB34" s="9" t="s">
        <v>192</v>
      </c>
      <c r="AC34" s="9" t="s">
        <v>192</v>
      </c>
      <c r="AD34" s="9" t="s">
        <v>192</v>
      </c>
      <c r="AE34" s="9" t="s">
        <v>192</v>
      </c>
      <c r="AF34" s="38">
        <f>SUM(Table4[[#This Row],[Bacteriocin]:[T1PKS]])</f>
        <v>1</v>
      </c>
      <c r="AG34" s="9" t="s">
        <v>192</v>
      </c>
      <c r="AH34" s="9"/>
      <c r="AJ34" s="1" t="str">
        <f>Table4[[#This Row],[NRPS]]</f>
        <v>-</v>
      </c>
      <c r="AK34" s="1" t="str">
        <f>Table4[[#This Row],[T1PKS]]</f>
        <v>-</v>
      </c>
      <c r="AL34" s="1">
        <f>Table4[[#This Row],[NRPS, T1PKS]]</f>
        <v>1</v>
      </c>
      <c r="AM34" s="1" t="str">
        <f>Table4[[#This Row],[Terpene]]</f>
        <v>-</v>
      </c>
      <c r="AN34" s="25">
        <f t="shared" ref="AN34:AN65" si="2">SUM(AD34,S34,R34,Q34,P34,K34,L34,G34,F34,E34)</f>
        <v>0</v>
      </c>
      <c r="AO34" s="25">
        <f t="shared" ref="AO34:AO65" si="3">SUM(AC34,AA34,Z34,Y34,W34,V34,T34,O34,N34,M34,J34,I34,H34)</f>
        <v>0</v>
      </c>
    </row>
    <row r="35" spans="1:41" x14ac:dyDescent="0.25">
      <c r="A35" s="9" t="s">
        <v>659</v>
      </c>
      <c r="B35" s="2" t="s">
        <v>870</v>
      </c>
      <c r="C35" s="2" t="s">
        <v>871</v>
      </c>
      <c r="D35" s="27">
        <v>327173</v>
      </c>
      <c r="E35" s="5">
        <v>1</v>
      </c>
      <c r="F35" s="5" t="s">
        <v>192</v>
      </c>
      <c r="G35" s="5" t="s">
        <v>192</v>
      </c>
      <c r="H35" s="5" t="s">
        <v>192</v>
      </c>
      <c r="I35" s="5" t="s">
        <v>192</v>
      </c>
      <c r="J35" s="5" t="s">
        <v>192</v>
      </c>
      <c r="K35" s="5" t="s">
        <v>192</v>
      </c>
      <c r="L35" s="5" t="s">
        <v>192</v>
      </c>
      <c r="M35" s="5" t="s">
        <v>192</v>
      </c>
      <c r="N35" s="5">
        <v>1</v>
      </c>
      <c r="O35" s="5" t="s">
        <v>192</v>
      </c>
      <c r="P35" s="5" t="s">
        <v>192</v>
      </c>
      <c r="Q35" s="5" t="s">
        <v>192</v>
      </c>
      <c r="R35" s="5" t="s">
        <v>192</v>
      </c>
      <c r="S35" s="9" t="s">
        <v>192</v>
      </c>
      <c r="T35" s="9" t="s">
        <v>192</v>
      </c>
      <c r="U35" s="9" t="s">
        <v>192</v>
      </c>
      <c r="V35" s="9" t="s">
        <v>192</v>
      </c>
      <c r="W35" s="9" t="s">
        <v>192</v>
      </c>
      <c r="X35" s="9" t="s">
        <v>192</v>
      </c>
      <c r="Y35" s="9" t="s">
        <v>192</v>
      </c>
      <c r="Z35" s="9" t="s">
        <v>192</v>
      </c>
      <c r="AA35" s="9" t="s">
        <v>192</v>
      </c>
      <c r="AB35" s="9" t="s">
        <v>192</v>
      </c>
      <c r="AC35" s="9" t="s">
        <v>192</v>
      </c>
      <c r="AD35" s="9" t="s">
        <v>192</v>
      </c>
      <c r="AE35" s="9" t="s">
        <v>192</v>
      </c>
      <c r="AF35" s="38">
        <f>SUM(Table4[[#This Row],[Bacteriocin]:[T1PKS]])</f>
        <v>2</v>
      </c>
      <c r="AG35" s="9" t="s">
        <v>192</v>
      </c>
      <c r="AH35" s="9"/>
      <c r="AJ35" s="1" t="str">
        <f>Table4[[#This Row],[NRPS]]</f>
        <v>-</v>
      </c>
      <c r="AK35" s="1" t="str">
        <f>Table4[[#This Row],[T1PKS]]</f>
        <v>-</v>
      </c>
      <c r="AL35" s="1" t="str">
        <f>Table4[[#This Row],[NRPS, T1PKS]]</f>
        <v>-</v>
      </c>
      <c r="AM35" s="1" t="str">
        <f>Table4[[#This Row],[Terpene]]</f>
        <v>-</v>
      </c>
      <c r="AN35" s="25">
        <f t="shared" si="2"/>
        <v>1</v>
      </c>
      <c r="AO35" s="25">
        <f t="shared" si="3"/>
        <v>1</v>
      </c>
    </row>
    <row r="36" spans="1:41" x14ac:dyDescent="0.25">
      <c r="A36" s="9" t="s">
        <v>659</v>
      </c>
      <c r="B36" s="2" t="s">
        <v>872</v>
      </c>
      <c r="C36" s="2" t="s">
        <v>873</v>
      </c>
      <c r="D36" s="27">
        <v>805120</v>
      </c>
      <c r="E36" s="5" t="s">
        <v>192</v>
      </c>
      <c r="F36" s="5" t="s">
        <v>192</v>
      </c>
      <c r="G36" s="5" t="s">
        <v>192</v>
      </c>
      <c r="H36" s="5" t="s">
        <v>192</v>
      </c>
      <c r="I36" s="5" t="s">
        <v>192</v>
      </c>
      <c r="J36" s="5" t="s">
        <v>192</v>
      </c>
      <c r="K36" s="5" t="s">
        <v>192</v>
      </c>
      <c r="L36" s="5" t="s">
        <v>192</v>
      </c>
      <c r="M36" s="5" t="s">
        <v>192</v>
      </c>
      <c r="N36" s="5" t="s">
        <v>192</v>
      </c>
      <c r="O36" s="5" t="s">
        <v>192</v>
      </c>
      <c r="P36" s="5" t="s">
        <v>192</v>
      </c>
      <c r="Q36" s="5" t="s">
        <v>192</v>
      </c>
      <c r="R36" s="5" t="s">
        <v>192</v>
      </c>
      <c r="S36" s="9" t="s">
        <v>192</v>
      </c>
      <c r="T36" s="9" t="s">
        <v>192</v>
      </c>
      <c r="U36" s="9" t="s">
        <v>192</v>
      </c>
      <c r="V36" s="9" t="s">
        <v>192</v>
      </c>
      <c r="W36" s="9" t="s">
        <v>192</v>
      </c>
      <c r="X36" s="9" t="s">
        <v>192</v>
      </c>
      <c r="Y36" s="9" t="s">
        <v>192</v>
      </c>
      <c r="Z36" s="9">
        <v>1</v>
      </c>
      <c r="AA36" s="9" t="s">
        <v>192</v>
      </c>
      <c r="AB36" s="9" t="s">
        <v>192</v>
      </c>
      <c r="AC36" s="9" t="s">
        <v>192</v>
      </c>
      <c r="AD36" s="9" t="s">
        <v>192</v>
      </c>
      <c r="AE36" s="9" t="s">
        <v>192</v>
      </c>
      <c r="AF36" s="38">
        <f>SUM(Table4[[#This Row],[Bacteriocin]:[T1PKS]])</f>
        <v>1</v>
      </c>
      <c r="AG36" s="9" t="s">
        <v>192</v>
      </c>
      <c r="AH36" s="9"/>
      <c r="AJ36" s="1" t="str">
        <f>Table4[[#This Row],[NRPS]]</f>
        <v>-</v>
      </c>
      <c r="AK36" s="1" t="str">
        <f>Table4[[#This Row],[T1PKS]]</f>
        <v>-</v>
      </c>
      <c r="AL36" s="1" t="str">
        <f>Table4[[#This Row],[NRPS, T1PKS]]</f>
        <v>-</v>
      </c>
      <c r="AM36" s="1" t="str">
        <f>Table4[[#This Row],[Terpene]]</f>
        <v>-</v>
      </c>
      <c r="AN36" s="25">
        <f t="shared" si="2"/>
        <v>0</v>
      </c>
      <c r="AO36" s="25">
        <f t="shared" si="3"/>
        <v>1</v>
      </c>
    </row>
    <row r="37" spans="1:41" x14ac:dyDescent="0.25">
      <c r="A37" s="9" t="s">
        <v>650</v>
      </c>
      <c r="B37" s="2" t="s">
        <v>224</v>
      </c>
      <c r="C37" s="2" t="s">
        <v>874</v>
      </c>
      <c r="D37" s="27">
        <v>1784048</v>
      </c>
      <c r="E37" s="5" t="s">
        <v>192</v>
      </c>
      <c r="F37" s="5" t="s">
        <v>192</v>
      </c>
      <c r="G37" s="5" t="s">
        <v>192</v>
      </c>
      <c r="H37" s="5" t="s">
        <v>192</v>
      </c>
      <c r="I37" s="5" t="s">
        <v>192</v>
      </c>
      <c r="J37" s="5" t="s">
        <v>192</v>
      </c>
      <c r="K37" s="5" t="s">
        <v>192</v>
      </c>
      <c r="L37" s="5" t="s">
        <v>192</v>
      </c>
      <c r="M37" s="5" t="s">
        <v>192</v>
      </c>
      <c r="N37" s="5" t="s">
        <v>192</v>
      </c>
      <c r="O37" s="5" t="s">
        <v>192</v>
      </c>
      <c r="P37" s="5" t="s">
        <v>192</v>
      </c>
      <c r="Q37" s="5" t="s">
        <v>192</v>
      </c>
      <c r="R37" s="5" t="s">
        <v>192</v>
      </c>
      <c r="S37" s="9" t="s">
        <v>192</v>
      </c>
      <c r="T37" s="9" t="s">
        <v>192</v>
      </c>
      <c r="U37" s="9">
        <v>1</v>
      </c>
      <c r="V37" s="9" t="s">
        <v>192</v>
      </c>
      <c r="W37" s="9" t="s">
        <v>192</v>
      </c>
      <c r="X37" s="9" t="s">
        <v>192</v>
      </c>
      <c r="Y37" s="9" t="s">
        <v>192</v>
      </c>
      <c r="Z37" s="9" t="s">
        <v>192</v>
      </c>
      <c r="AA37" s="9" t="s">
        <v>192</v>
      </c>
      <c r="AB37" s="9">
        <v>1</v>
      </c>
      <c r="AC37" s="9">
        <v>1</v>
      </c>
      <c r="AD37" s="9" t="s">
        <v>192</v>
      </c>
      <c r="AE37" s="9" t="s">
        <v>192</v>
      </c>
      <c r="AF37" s="38">
        <f>SUM(Table4[[#This Row],[Bacteriocin]:[T1PKS]])</f>
        <v>3</v>
      </c>
      <c r="AG37" s="9" t="s">
        <v>218</v>
      </c>
      <c r="AH37" s="9"/>
      <c r="AJ37" s="1">
        <f>Table4[[#This Row],[NRPS]]</f>
        <v>1</v>
      </c>
      <c r="AK37" s="1" t="str">
        <f>Table4[[#This Row],[T1PKS]]</f>
        <v>-</v>
      </c>
      <c r="AL37" s="1" t="str">
        <f>Table4[[#This Row],[NRPS, T1PKS]]</f>
        <v>-</v>
      </c>
      <c r="AM37" s="1">
        <f>Table4[[#This Row],[Terpene]]</f>
        <v>1</v>
      </c>
      <c r="AN37" s="25">
        <f t="shared" si="2"/>
        <v>0</v>
      </c>
      <c r="AO37" s="25">
        <f t="shared" si="3"/>
        <v>1</v>
      </c>
    </row>
    <row r="38" spans="1:41" x14ac:dyDescent="0.25">
      <c r="A38" s="9" t="s">
        <v>631</v>
      </c>
      <c r="B38" s="2" t="s">
        <v>875</v>
      </c>
      <c r="C38" s="2" t="s">
        <v>876</v>
      </c>
      <c r="D38" s="27">
        <v>354564</v>
      </c>
      <c r="E38" s="5" t="s">
        <v>192</v>
      </c>
      <c r="F38" s="5">
        <v>1</v>
      </c>
      <c r="G38" s="5" t="s">
        <v>192</v>
      </c>
      <c r="H38" s="5" t="s">
        <v>192</v>
      </c>
      <c r="I38" s="5" t="s">
        <v>192</v>
      </c>
      <c r="J38" s="5" t="s">
        <v>192</v>
      </c>
      <c r="K38" s="5" t="s">
        <v>192</v>
      </c>
      <c r="L38" s="5" t="s">
        <v>192</v>
      </c>
      <c r="M38" s="5" t="s">
        <v>192</v>
      </c>
      <c r="N38" s="5" t="s">
        <v>192</v>
      </c>
      <c r="O38" s="5" t="s">
        <v>192</v>
      </c>
      <c r="P38" s="5" t="s">
        <v>192</v>
      </c>
      <c r="Q38" s="5" t="s">
        <v>192</v>
      </c>
      <c r="R38" s="5" t="s">
        <v>192</v>
      </c>
      <c r="S38" s="2" t="s">
        <v>192</v>
      </c>
      <c r="T38" s="2" t="s">
        <v>192</v>
      </c>
      <c r="U38" s="2" t="s">
        <v>192</v>
      </c>
      <c r="V38" s="2" t="s">
        <v>192</v>
      </c>
      <c r="W38" s="2" t="s">
        <v>192</v>
      </c>
      <c r="X38" s="2" t="s">
        <v>192</v>
      </c>
      <c r="Y38" s="2" t="s">
        <v>192</v>
      </c>
      <c r="Z38" s="2" t="s">
        <v>192</v>
      </c>
      <c r="AA38" s="2" t="s">
        <v>192</v>
      </c>
      <c r="AB38" s="2" t="s">
        <v>192</v>
      </c>
      <c r="AC38" s="2" t="s">
        <v>192</v>
      </c>
      <c r="AD38" s="2" t="s">
        <v>192</v>
      </c>
      <c r="AE38" s="2" t="s">
        <v>192</v>
      </c>
      <c r="AF38" s="38">
        <f>SUM(Table4[[#This Row],[Bacteriocin]:[T1PKS]])</f>
        <v>1</v>
      </c>
      <c r="AG38" s="2" t="s">
        <v>192</v>
      </c>
      <c r="AH38" s="36"/>
      <c r="AJ38" s="1" t="str">
        <f>Table4[[#This Row],[NRPS]]</f>
        <v>-</v>
      </c>
      <c r="AK38" s="1" t="str">
        <f>Table4[[#This Row],[T1PKS]]</f>
        <v>-</v>
      </c>
      <c r="AL38" s="1" t="str">
        <f>Table4[[#This Row],[NRPS, T1PKS]]</f>
        <v>-</v>
      </c>
      <c r="AM38" s="1" t="str">
        <f>Table4[[#This Row],[Terpene]]</f>
        <v>-</v>
      </c>
      <c r="AN38" s="25">
        <f t="shared" si="2"/>
        <v>1</v>
      </c>
      <c r="AO38" s="25">
        <f t="shared" si="3"/>
        <v>0</v>
      </c>
    </row>
    <row r="39" spans="1:41" x14ac:dyDescent="0.25">
      <c r="A39" s="9" t="s">
        <v>631</v>
      </c>
      <c r="B39" s="2" t="s">
        <v>877</v>
      </c>
      <c r="C39" s="2" t="s">
        <v>878</v>
      </c>
      <c r="D39" s="27">
        <v>123028</v>
      </c>
      <c r="E39" s="5" t="s">
        <v>192</v>
      </c>
      <c r="F39" s="5" t="s">
        <v>192</v>
      </c>
      <c r="G39" s="5" t="s">
        <v>192</v>
      </c>
      <c r="H39" s="5" t="s">
        <v>192</v>
      </c>
      <c r="I39" s="5" t="s">
        <v>192</v>
      </c>
      <c r="J39" s="5" t="s">
        <v>192</v>
      </c>
      <c r="K39" s="5" t="s">
        <v>192</v>
      </c>
      <c r="L39" s="5" t="s">
        <v>192</v>
      </c>
      <c r="M39" s="5" t="s">
        <v>192</v>
      </c>
      <c r="N39" s="5" t="s">
        <v>192</v>
      </c>
      <c r="O39" s="5" t="s">
        <v>192</v>
      </c>
      <c r="P39" s="5" t="s">
        <v>192</v>
      </c>
      <c r="Q39" s="5" t="s">
        <v>192</v>
      </c>
      <c r="R39" s="5" t="s">
        <v>192</v>
      </c>
      <c r="S39" s="2" t="s">
        <v>192</v>
      </c>
      <c r="T39" s="2" t="s">
        <v>192</v>
      </c>
      <c r="U39" s="2" t="s">
        <v>192</v>
      </c>
      <c r="V39" s="2" t="s">
        <v>192</v>
      </c>
      <c r="W39" s="2" t="s">
        <v>192</v>
      </c>
      <c r="X39" s="2">
        <v>1</v>
      </c>
      <c r="Y39" s="2" t="s">
        <v>192</v>
      </c>
      <c r="Z39" s="2" t="s">
        <v>192</v>
      </c>
      <c r="AA39" s="2" t="s">
        <v>192</v>
      </c>
      <c r="AB39" s="2" t="s">
        <v>192</v>
      </c>
      <c r="AC39" s="2" t="s">
        <v>192</v>
      </c>
      <c r="AD39" s="2" t="s">
        <v>192</v>
      </c>
      <c r="AE39" s="2" t="s">
        <v>192</v>
      </c>
      <c r="AF39" s="38">
        <f>SUM(Table4[[#This Row],[Bacteriocin]:[T1PKS]])</f>
        <v>1</v>
      </c>
      <c r="AG39" s="2" t="s">
        <v>192</v>
      </c>
      <c r="AH39" s="36"/>
      <c r="AJ39" s="1" t="str">
        <f>Table4[[#This Row],[NRPS]]</f>
        <v>-</v>
      </c>
      <c r="AK39" s="1" t="str">
        <f>Table4[[#This Row],[T1PKS]]</f>
        <v>-</v>
      </c>
      <c r="AL39" s="1">
        <f>Table4[[#This Row],[NRPS, T1PKS]]</f>
        <v>1</v>
      </c>
      <c r="AM39" s="1" t="str">
        <f>Table4[[#This Row],[Terpene]]</f>
        <v>-</v>
      </c>
      <c r="AN39" s="25">
        <f t="shared" si="2"/>
        <v>0</v>
      </c>
      <c r="AO39" s="25">
        <f t="shared" si="3"/>
        <v>0</v>
      </c>
    </row>
    <row r="40" spans="1:41" x14ac:dyDescent="0.25">
      <c r="A40" s="9" t="s">
        <v>631</v>
      </c>
      <c r="B40" s="2" t="s">
        <v>879</v>
      </c>
      <c r="C40" s="2" t="s">
        <v>880</v>
      </c>
      <c r="D40" s="27">
        <v>26419</v>
      </c>
      <c r="E40" s="5">
        <v>1</v>
      </c>
      <c r="F40" s="5" t="s">
        <v>192</v>
      </c>
      <c r="G40" s="5" t="s">
        <v>192</v>
      </c>
      <c r="H40" s="5" t="s">
        <v>192</v>
      </c>
      <c r="I40" s="5" t="s">
        <v>192</v>
      </c>
      <c r="J40" s="5" t="s">
        <v>192</v>
      </c>
      <c r="K40" s="5" t="s">
        <v>192</v>
      </c>
      <c r="L40" s="5" t="s">
        <v>192</v>
      </c>
      <c r="M40" s="5" t="s">
        <v>192</v>
      </c>
      <c r="N40" s="5" t="s">
        <v>192</v>
      </c>
      <c r="O40" s="5" t="s">
        <v>192</v>
      </c>
      <c r="P40" s="5" t="s">
        <v>192</v>
      </c>
      <c r="Q40" s="5" t="s">
        <v>192</v>
      </c>
      <c r="R40" s="5" t="s">
        <v>192</v>
      </c>
      <c r="S40" s="2" t="s">
        <v>192</v>
      </c>
      <c r="T40" s="2" t="s">
        <v>192</v>
      </c>
      <c r="U40" s="2" t="s">
        <v>192</v>
      </c>
      <c r="V40" s="2" t="s">
        <v>192</v>
      </c>
      <c r="W40" s="2" t="s">
        <v>192</v>
      </c>
      <c r="X40" s="2" t="s">
        <v>192</v>
      </c>
      <c r="Y40" s="2" t="s">
        <v>192</v>
      </c>
      <c r="Z40" s="2" t="s">
        <v>192</v>
      </c>
      <c r="AA40" s="2" t="s">
        <v>192</v>
      </c>
      <c r="AB40" s="2" t="s">
        <v>192</v>
      </c>
      <c r="AC40" s="2" t="s">
        <v>192</v>
      </c>
      <c r="AD40" s="2" t="s">
        <v>192</v>
      </c>
      <c r="AE40" s="2" t="s">
        <v>192</v>
      </c>
      <c r="AF40" s="38">
        <f>SUM(Table4[[#This Row],[Bacteriocin]:[T1PKS]])</f>
        <v>1</v>
      </c>
      <c r="AG40" s="2" t="s">
        <v>192</v>
      </c>
      <c r="AH40" s="36"/>
      <c r="AJ40" s="1" t="str">
        <f>Table4[[#This Row],[NRPS]]</f>
        <v>-</v>
      </c>
      <c r="AK40" s="1" t="str">
        <f>Table4[[#This Row],[T1PKS]]</f>
        <v>-</v>
      </c>
      <c r="AL40" s="1" t="str">
        <f>Table4[[#This Row],[NRPS, T1PKS]]</f>
        <v>-</v>
      </c>
      <c r="AM40" s="1" t="str">
        <f>Table4[[#This Row],[Terpene]]</f>
        <v>-</v>
      </c>
      <c r="AN40" s="25">
        <f t="shared" si="2"/>
        <v>1</v>
      </c>
      <c r="AO40" s="25">
        <f t="shared" si="3"/>
        <v>0</v>
      </c>
    </row>
    <row r="41" spans="1:41" x14ac:dyDescent="0.25">
      <c r="A41" s="9" t="s">
        <v>665</v>
      </c>
      <c r="B41" s="2" t="s">
        <v>617</v>
      </c>
      <c r="C41" s="2" t="s">
        <v>881</v>
      </c>
      <c r="D41" s="28">
        <v>337072</v>
      </c>
      <c r="E41" s="5" t="s">
        <v>192</v>
      </c>
      <c r="F41" s="5" t="s">
        <v>192</v>
      </c>
      <c r="G41" s="5">
        <v>1</v>
      </c>
      <c r="H41" s="5" t="s">
        <v>192</v>
      </c>
      <c r="I41" s="5" t="s">
        <v>192</v>
      </c>
      <c r="J41" s="5" t="s">
        <v>192</v>
      </c>
      <c r="K41" s="5" t="s">
        <v>192</v>
      </c>
      <c r="L41" s="5" t="s">
        <v>192</v>
      </c>
      <c r="M41" s="5" t="s">
        <v>192</v>
      </c>
      <c r="N41" s="5" t="s">
        <v>192</v>
      </c>
      <c r="O41" s="5" t="s">
        <v>192</v>
      </c>
      <c r="P41" s="5" t="s">
        <v>192</v>
      </c>
      <c r="Q41" s="5" t="s">
        <v>192</v>
      </c>
      <c r="R41" s="5" t="s">
        <v>192</v>
      </c>
      <c r="S41" s="9" t="s">
        <v>192</v>
      </c>
      <c r="T41" s="9" t="s">
        <v>192</v>
      </c>
      <c r="U41" s="9" t="s">
        <v>192</v>
      </c>
      <c r="V41" s="9" t="s">
        <v>192</v>
      </c>
      <c r="W41" s="9" t="s">
        <v>192</v>
      </c>
      <c r="X41" s="9" t="s">
        <v>192</v>
      </c>
      <c r="Y41" s="9" t="s">
        <v>192</v>
      </c>
      <c r="Z41" s="9" t="s">
        <v>192</v>
      </c>
      <c r="AA41" s="9" t="s">
        <v>192</v>
      </c>
      <c r="AB41" s="9" t="s">
        <v>192</v>
      </c>
      <c r="AC41" s="9" t="s">
        <v>192</v>
      </c>
      <c r="AD41" s="9" t="s">
        <v>192</v>
      </c>
      <c r="AE41" s="9" t="s">
        <v>192</v>
      </c>
      <c r="AF41" s="31">
        <f>SUM(Table4[[#This Row],[Bacteriocin]:[T1PKS]])</f>
        <v>1</v>
      </c>
      <c r="AG41" s="9" t="s">
        <v>192</v>
      </c>
      <c r="AH41" s="9"/>
      <c r="AJ41" s="1" t="str">
        <f>Table4[[#This Row],[NRPS]]</f>
        <v>-</v>
      </c>
      <c r="AK41" s="1" t="str">
        <f>Table4[[#This Row],[T1PKS]]</f>
        <v>-</v>
      </c>
      <c r="AL41" s="1" t="str">
        <f>Table4[[#This Row],[NRPS, T1PKS]]</f>
        <v>-</v>
      </c>
      <c r="AM41" s="1" t="str">
        <f>Table4[[#This Row],[Terpene]]</f>
        <v>-</v>
      </c>
      <c r="AN41" s="25">
        <f t="shared" si="2"/>
        <v>1</v>
      </c>
      <c r="AO41" s="25">
        <f t="shared" si="3"/>
        <v>0</v>
      </c>
    </row>
    <row r="42" spans="1:41" x14ac:dyDescent="0.25">
      <c r="A42" s="9" t="s">
        <v>665</v>
      </c>
      <c r="B42" s="2" t="s">
        <v>618</v>
      </c>
      <c r="C42" s="2" t="s">
        <v>882</v>
      </c>
      <c r="D42" s="28">
        <v>325114</v>
      </c>
      <c r="E42" s="5" t="s">
        <v>192</v>
      </c>
      <c r="F42" s="5">
        <v>1</v>
      </c>
      <c r="G42" s="5" t="s">
        <v>192</v>
      </c>
      <c r="H42" s="5" t="s">
        <v>192</v>
      </c>
      <c r="I42" s="5" t="s">
        <v>192</v>
      </c>
      <c r="J42" s="5" t="s">
        <v>192</v>
      </c>
      <c r="K42" s="5" t="s">
        <v>192</v>
      </c>
      <c r="L42" s="5" t="s">
        <v>192</v>
      </c>
      <c r="M42" s="5" t="s">
        <v>192</v>
      </c>
      <c r="N42" s="5" t="s">
        <v>192</v>
      </c>
      <c r="O42" s="5" t="s">
        <v>192</v>
      </c>
      <c r="P42" s="5" t="s">
        <v>192</v>
      </c>
      <c r="Q42" s="5" t="s">
        <v>192</v>
      </c>
      <c r="R42" s="5" t="s">
        <v>192</v>
      </c>
      <c r="S42" s="9" t="s">
        <v>192</v>
      </c>
      <c r="T42" s="9" t="s">
        <v>192</v>
      </c>
      <c r="U42" s="9" t="s">
        <v>192</v>
      </c>
      <c r="V42" s="9" t="s">
        <v>192</v>
      </c>
      <c r="W42" s="9" t="s">
        <v>192</v>
      </c>
      <c r="X42" s="9" t="s">
        <v>192</v>
      </c>
      <c r="Y42" s="9" t="s">
        <v>192</v>
      </c>
      <c r="Z42" s="9" t="s">
        <v>192</v>
      </c>
      <c r="AA42" s="9" t="s">
        <v>192</v>
      </c>
      <c r="AB42" s="9" t="s">
        <v>192</v>
      </c>
      <c r="AC42" s="9" t="s">
        <v>192</v>
      </c>
      <c r="AD42" s="9" t="s">
        <v>192</v>
      </c>
      <c r="AE42" s="9" t="s">
        <v>192</v>
      </c>
      <c r="AF42" s="31">
        <f>SUM(Table4[[#This Row],[Bacteriocin]:[T1PKS]])</f>
        <v>1</v>
      </c>
      <c r="AG42" s="9" t="s">
        <v>192</v>
      </c>
      <c r="AH42" s="9"/>
      <c r="AJ42" s="1" t="str">
        <f>Table4[[#This Row],[NRPS]]</f>
        <v>-</v>
      </c>
      <c r="AK42" s="1" t="str">
        <f>Table4[[#This Row],[T1PKS]]</f>
        <v>-</v>
      </c>
      <c r="AL42" s="1" t="str">
        <f>Table4[[#This Row],[NRPS, T1PKS]]</f>
        <v>-</v>
      </c>
      <c r="AM42" s="1" t="str">
        <f>Table4[[#This Row],[Terpene]]</f>
        <v>-</v>
      </c>
      <c r="AN42" s="25">
        <f t="shared" si="2"/>
        <v>1</v>
      </c>
      <c r="AO42" s="25">
        <f t="shared" si="3"/>
        <v>0</v>
      </c>
    </row>
    <row r="43" spans="1:41" x14ac:dyDescent="0.25">
      <c r="A43" s="9" t="s">
        <v>665</v>
      </c>
      <c r="B43" s="2" t="s">
        <v>620</v>
      </c>
      <c r="C43" s="2" t="s">
        <v>883</v>
      </c>
      <c r="D43" s="28">
        <v>65222</v>
      </c>
      <c r="E43" s="5">
        <v>1</v>
      </c>
      <c r="F43" s="5" t="s">
        <v>192</v>
      </c>
      <c r="G43" s="5" t="s">
        <v>192</v>
      </c>
      <c r="H43" s="5" t="s">
        <v>192</v>
      </c>
      <c r="I43" s="5" t="s">
        <v>192</v>
      </c>
      <c r="J43" s="5" t="s">
        <v>192</v>
      </c>
      <c r="K43" s="5" t="s">
        <v>192</v>
      </c>
      <c r="L43" s="5" t="s">
        <v>192</v>
      </c>
      <c r="M43" s="5" t="s">
        <v>192</v>
      </c>
      <c r="N43" s="5" t="s">
        <v>192</v>
      </c>
      <c r="O43" s="5" t="s">
        <v>192</v>
      </c>
      <c r="P43" s="5" t="s">
        <v>192</v>
      </c>
      <c r="Q43" s="5" t="s">
        <v>192</v>
      </c>
      <c r="R43" s="5" t="s">
        <v>192</v>
      </c>
      <c r="S43" s="9" t="s">
        <v>192</v>
      </c>
      <c r="T43" s="9" t="s">
        <v>192</v>
      </c>
      <c r="U43" s="9" t="s">
        <v>192</v>
      </c>
      <c r="V43" s="9" t="s">
        <v>192</v>
      </c>
      <c r="W43" s="9" t="s">
        <v>192</v>
      </c>
      <c r="X43" s="9" t="s">
        <v>192</v>
      </c>
      <c r="Y43" s="9" t="s">
        <v>192</v>
      </c>
      <c r="Z43" s="9" t="s">
        <v>192</v>
      </c>
      <c r="AA43" s="9" t="s">
        <v>192</v>
      </c>
      <c r="AB43" s="9" t="s">
        <v>192</v>
      </c>
      <c r="AC43" s="9" t="s">
        <v>192</v>
      </c>
      <c r="AD43" s="9" t="s">
        <v>192</v>
      </c>
      <c r="AE43" s="9" t="s">
        <v>192</v>
      </c>
      <c r="AF43" s="31">
        <f>SUM(Table4[[#This Row],[Bacteriocin]:[T1PKS]])</f>
        <v>1</v>
      </c>
      <c r="AG43" s="9" t="s">
        <v>192</v>
      </c>
      <c r="AH43" s="9"/>
      <c r="AJ43" s="1" t="str">
        <f>Table4[[#This Row],[NRPS]]</f>
        <v>-</v>
      </c>
      <c r="AK43" s="1" t="str">
        <f>Table4[[#This Row],[T1PKS]]</f>
        <v>-</v>
      </c>
      <c r="AL43" s="1" t="str">
        <f>Table4[[#This Row],[NRPS, T1PKS]]</f>
        <v>-</v>
      </c>
      <c r="AM43" s="1" t="str">
        <f>Table4[[#This Row],[Terpene]]</f>
        <v>-</v>
      </c>
      <c r="AN43" s="25">
        <f t="shared" si="2"/>
        <v>1</v>
      </c>
      <c r="AO43" s="25">
        <f t="shared" si="3"/>
        <v>0</v>
      </c>
    </row>
    <row r="44" spans="1:41" x14ac:dyDescent="0.25">
      <c r="A44" s="9" t="s">
        <v>665</v>
      </c>
      <c r="B44" s="2" t="s">
        <v>619</v>
      </c>
      <c r="C44" s="2" t="s">
        <v>884</v>
      </c>
      <c r="D44" s="28">
        <v>219530</v>
      </c>
      <c r="E44" s="5" t="s">
        <v>192</v>
      </c>
      <c r="F44" s="5" t="s">
        <v>192</v>
      </c>
      <c r="G44" s="5" t="s">
        <v>192</v>
      </c>
      <c r="H44" s="5" t="s">
        <v>192</v>
      </c>
      <c r="I44" s="5" t="s">
        <v>192</v>
      </c>
      <c r="J44" s="5" t="s">
        <v>192</v>
      </c>
      <c r="K44" s="5" t="s">
        <v>192</v>
      </c>
      <c r="L44" s="5" t="s">
        <v>192</v>
      </c>
      <c r="M44" s="5" t="s">
        <v>192</v>
      </c>
      <c r="N44" s="5" t="s">
        <v>192</v>
      </c>
      <c r="O44" s="5" t="s">
        <v>192</v>
      </c>
      <c r="P44" s="5" t="s">
        <v>192</v>
      </c>
      <c r="Q44" s="5" t="s">
        <v>192</v>
      </c>
      <c r="R44" s="5" t="s">
        <v>192</v>
      </c>
      <c r="S44" s="9" t="s">
        <v>192</v>
      </c>
      <c r="T44" s="9" t="s">
        <v>192</v>
      </c>
      <c r="U44" s="9" t="s">
        <v>192</v>
      </c>
      <c r="V44" s="9" t="s">
        <v>192</v>
      </c>
      <c r="W44" s="9" t="s">
        <v>192</v>
      </c>
      <c r="X44" s="9">
        <v>2</v>
      </c>
      <c r="Y44" s="9" t="s">
        <v>192</v>
      </c>
      <c r="Z44" s="9" t="s">
        <v>192</v>
      </c>
      <c r="AA44" s="9" t="s">
        <v>192</v>
      </c>
      <c r="AB44" s="9" t="s">
        <v>192</v>
      </c>
      <c r="AC44" s="9" t="s">
        <v>192</v>
      </c>
      <c r="AD44" s="9" t="s">
        <v>192</v>
      </c>
      <c r="AE44" s="9" t="s">
        <v>192</v>
      </c>
      <c r="AF44" s="31">
        <f>SUM(Table4[[#This Row],[Bacteriocin]:[T1PKS]])</f>
        <v>2</v>
      </c>
      <c r="AG44" s="9" t="s">
        <v>612</v>
      </c>
      <c r="AH44" s="9"/>
      <c r="AJ44" s="1" t="str">
        <f>Table4[[#This Row],[NRPS]]</f>
        <v>-</v>
      </c>
      <c r="AK44" s="1" t="str">
        <f>Table4[[#This Row],[T1PKS]]</f>
        <v>-</v>
      </c>
      <c r="AL44" s="1">
        <f>Table4[[#This Row],[NRPS, T1PKS]]</f>
        <v>2</v>
      </c>
      <c r="AM44" s="1" t="str">
        <f>Table4[[#This Row],[Terpene]]</f>
        <v>-</v>
      </c>
      <c r="AN44" s="25">
        <f t="shared" si="2"/>
        <v>0</v>
      </c>
      <c r="AO44" s="25">
        <f t="shared" si="3"/>
        <v>0</v>
      </c>
    </row>
    <row r="45" spans="1:41" x14ac:dyDescent="0.25">
      <c r="A45" s="9" t="s">
        <v>661</v>
      </c>
      <c r="B45" s="9" t="s">
        <v>326</v>
      </c>
      <c r="C45" s="2" t="s">
        <v>885</v>
      </c>
      <c r="D45" s="28">
        <v>63064</v>
      </c>
      <c r="E45" s="7" t="s">
        <v>192</v>
      </c>
      <c r="F45" s="7" t="s">
        <v>192</v>
      </c>
      <c r="G45" s="7" t="s">
        <v>192</v>
      </c>
      <c r="H45" s="7" t="s">
        <v>192</v>
      </c>
      <c r="I45" s="7" t="s">
        <v>192</v>
      </c>
      <c r="J45" s="7" t="s">
        <v>192</v>
      </c>
      <c r="K45" s="7" t="s">
        <v>192</v>
      </c>
      <c r="L45" s="7" t="s">
        <v>192</v>
      </c>
      <c r="M45" s="7" t="s">
        <v>192</v>
      </c>
      <c r="N45" s="7" t="s">
        <v>192</v>
      </c>
      <c r="O45" s="7" t="s">
        <v>192</v>
      </c>
      <c r="P45" s="7" t="s">
        <v>192</v>
      </c>
      <c r="Q45" s="7" t="s">
        <v>192</v>
      </c>
      <c r="R45" s="7" t="s">
        <v>192</v>
      </c>
      <c r="S45" s="9" t="s">
        <v>192</v>
      </c>
      <c r="T45" s="9" t="s">
        <v>192</v>
      </c>
      <c r="U45" s="9" t="s">
        <v>192</v>
      </c>
      <c r="V45" s="9" t="s">
        <v>192</v>
      </c>
      <c r="W45" s="9" t="s">
        <v>192</v>
      </c>
      <c r="X45" s="9">
        <v>1</v>
      </c>
      <c r="Y45" s="9" t="s">
        <v>192</v>
      </c>
      <c r="Z45" s="9" t="s">
        <v>192</v>
      </c>
      <c r="AA45" s="9" t="s">
        <v>192</v>
      </c>
      <c r="AB45" s="9" t="s">
        <v>192</v>
      </c>
      <c r="AC45" s="9" t="s">
        <v>192</v>
      </c>
      <c r="AD45" s="9" t="s">
        <v>192</v>
      </c>
      <c r="AE45" s="9" t="s">
        <v>192</v>
      </c>
      <c r="AF45" s="38">
        <f>SUM(Table4[[#This Row],[Bacteriocin]:[T1PKS]])</f>
        <v>1</v>
      </c>
      <c r="AG45" s="9" t="s">
        <v>192</v>
      </c>
      <c r="AH45" s="9"/>
      <c r="AJ45" s="1" t="str">
        <f>Table4[[#This Row],[NRPS]]</f>
        <v>-</v>
      </c>
      <c r="AK45" s="1" t="str">
        <f>Table4[[#This Row],[T1PKS]]</f>
        <v>-</v>
      </c>
      <c r="AL45" s="1">
        <f>Table4[[#This Row],[NRPS, T1PKS]]</f>
        <v>1</v>
      </c>
      <c r="AM45" s="1" t="str">
        <f>Table4[[#This Row],[Terpene]]</f>
        <v>-</v>
      </c>
      <c r="AN45" s="25">
        <f t="shared" si="2"/>
        <v>0</v>
      </c>
      <c r="AO45" s="25">
        <f t="shared" si="3"/>
        <v>0</v>
      </c>
    </row>
    <row r="46" spans="1:41" x14ac:dyDescent="0.25">
      <c r="A46" s="9" t="s">
        <v>819</v>
      </c>
      <c r="B46" s="2" t="s">
        <v>198</v>
      </c>
      <c r="C46" s="2" t="s">
        <v>886</v>
      </c>
      <c r="D46" s="27">
        <v>328926</v>
      </c>
      <c r="E46" s="5" t="s">
        <v>192</v>
      </c>
      <c r="F46" s="5" t="s">
        <v>192</v>
      </c>
      <c r="G46" s="5" t="s">
        <v>192</v>
      </c>
      <c r="H46" s="5" t="s">
        <v>192</v>
      </c>
      <c r="I46" s="5" t="s">
        <v>192</v>
      </c>
      <c r="J46" s="5" t="s">
        <v>192</v>
      </c>
      <c r="K46" s="5" t="s">
        <v>192</v>
      </c>
      <c r="L46" s="5" t="s">
        <v>192</v>
      </c>
      <c r="M46" s="5" t="s">
        <v>192</v>
      </c>
      <c r="N46" s="5" t="s">
        <v>192</v>
      </c>
      <c r="O46" s="5" t="s">
        <v>192</v>
      </c>
      <c r="P46" s="5" t="s">
        <v>192</v>
      </c>
      <c r="Q46" s="5" t="s">
        <v>192</v>
      </c>
      <c r="R46" s="5" t="s">
        <v>192</v>
      </c>
      <c r="S46" s="9" t="s">
        <v>192</v>
      </c>
      <c r="T46" s="9" t="s">
        <v>192</v>
      </c>
      <c r="U46" s="9" t="s">
        <v>192</v>
      </c>
      <c r="V46" s="9" t="s">
        <v>192</v>
      </c>
      <c r="W46" s="9" t="s">
        <v>192</v>
      </c>
      <c r="X46" s="9">
        <v>1</v>
      </c>
      <c r="Y46" s="9" t="s">
        <v>192</v>
      </c>
      <c r="Z46" s="9" t="s">
        <v>192</v>
      </c>
      <c r="AA46" s="9" t="s">
        <v>192</v>
      </c>
      <c r="AB46" s="9" t="s">
        <v>192</v>
      </c>
      <c r="AC46" s="9" t="s">
        <v>192</v>
      </c>
      <c r="AD46" s="9" t="s">
        <v>192</v>
      </c>
      <c r="AE46" s="9" t="s">
        <v>192</v>
      </c>
      <c r="AF46" s="38">
        <f>SUM(Table4[[#This Row],[Bacteriocin]:[T1PKS]])</f>
        <v>1</v>
      </c>
      <c r="AG46" s="9" t="s">
        <v>192</v>
      </c>
      <c r="AH46" s="9"/>
      <c r="AJ46" s="1" t="str">
        <f>Table4[[#This Row],[NRPS]]</f>
        <v>-</v>
      </c>
      <c r="AK46" s="1" t="str">
        <f>Table4[[#This Row],[T1PKS]]</f>
        <v>-</v>
      </c>
      <c r="AL46" s="1">
        <f>Table4[[#This Row],[NRPS, T1PKS]]</f>
        <v>1</v>
      </c>
      <c r="AM46" s="1" t="str">
        <f>Table4[[#This Row],[Terpene]]</f>
        <v>-</v>
      </c>
      <c r="AN46" s="25">
        <f t="shared" si="2"/>
        <v>0</v>
      </c>
      <c r="AO46" s="25">
        <f t="shared" si="3"/>
        <v>0</v>
      </c>
    </row>
    <row r="47" spans="1:41" x14ac:dyDescent="0.25">
      <c r="A47" s="9" t="s">
        <v>819</v>
      </c>
      <c r="B47" s="2" t="s">
        <v>231</v>
      </c>
      <c r="C47" s="2" t="s">
        <v>887</v>
      </c>
      <c r="D47" s="27">
        <v>320476</v>
      </c>
      <c r="E47" s="5" t="s">
        <v>192</v>
      </c>
      <c r="F47" s="5" t="s">
        <v>192</v>
      </c>
      <c r="G47" s="5" t="s">
        <v>192</v>
      </c>
      <c r="H47" s="5" t="s">
        <v>192</v>
      </c>
      <c r="I47" s="5" t="s">
        <v>192</v>
      </c>
      <c r="J47" s="5" t="s">
        <v>192</v>
      </c>
      <c r="K47" s="5" t="s">
        <v>192</v>
      </c>
      <c r="L47" s="5" t="s">
        <v>192</v>
      </c>
      <c r="M47" s="5" t="s">
        <v>192</v>
      </c>
      <c r="N47" s="5" t="s">
        <v>192</v>
      </c>
      <c r="O47" s="5" t="s">
        <v>192</v>
      </c>
      <c r="P47" s="5" t="s">
        <v>192</v>
      </c>
      <c r="Q47" s="5" t="s">
        <v>192</v>
      </c>
      <c r="R47" s="5" t="s">
        <v>192</v>
      </c>
      <c r="S47" s="9" t="s">
        <v>192</v>
      </c>
      <c r="T47" s="9" t="s">
        <v>192</v>
      </c>
      <c r="U47" s="9">
        <v>2</v>
      </c>
      <c r="V47" s="9" t="s">
        <v>192</v>
      </c>
      <c r="W47" s="9" t="s">
        <v>192</v>
      </c>
      <c r="X47" s="9" t="s">
        <v>192</v>
      </c>
      <c r="Y47" s="9" t="s">
        <v>192</v>
      </c>
      <c r="Z47" s="9" t="s">
        <v>192</v>
      </c>
      <c r="AA47" s="9" t="s">
        <v>192</v>
      </c>
      <c r="AB47" s="9">
        <v>1</v>
      </c>
      <c r="AC47" s="9" t="s">
        <v>192</v>
      </c>
      <c r="AD47" s="9" t="s">
        <v>192</v>
      </c>
      <c r="AE47" s="9" t="s">
        <v>192</v>
      </c>
      <c r="AF47" s="38">
        <f>SUM(Table4[[#This Row],[Bacteriocin]:[T1PKS]])</f>
        <v>3</v>
      </c>
      <c r="AG47" s="9" t="s">
        <v>218</v>
      </c>
      <c r="AH47" s="9"/>
      <c r="AJ47" s="1">
        <f>Table4[[#This Row],[NRPS]]</f>
        <v>2</v>
      </c>
      <c r="AK47" s="1" t="str">
        <f>Table4[[#This Row],[T1PKS]]</f>
        <v>-</v>
      </c>
      <c r="AL47" s="1" t="str">
        <f>Table4[[#This Row],[NRPS, T1PKS]]</f>
        <v>-</v>
      </c>
      <c r="AM47" s="1">
        <f>Table4[[#This Row],[Terpene]]</f>
        <v>1</v>
      </c>
      <c r="AN47" s="25">
        <f t="shared" si="2"/>
        <v>0</v>
      </c>
      <c r="AO47" s="25">
        <f t="shared" si="3"/>
        <v>0</v>
      </c>
    </row>
    <row r="48" spans="1:41" x14ac:dyDescent="0.25">
      <c r="A48" s="9" t="s">
        <v>644</v>
      </c>
      <c r="B48" s="2" t="s">
        <v>331</v>
      </c>
      <c r="C48" s="2" t="s">
        <v>888</v>
      </c>
      <c r="D48" s="27">
        <v>447304</v>
      </c>
      <c r="E48" s="5" t="s">
        <v>192</v>
      </c>
      <c r="F48" s="5" t="s">
        <v>192</v>
      </c>
      <c r="G48" s="5" t="s">
        <v>192</v>
      </c>
      <c r="H48" s="5" t="s">
        <v>192</v>
      </c>
      <c r="I48" s="5" t="s">
        <v>192</v>
      </c>
      <c r="J48" s="5" t="s">
        <v>192</v>
      </c>
      <c r="K48" s="5" t="s">
        <v>192</v>
      </c>
      <c r="L48" s="5" t="s">
        <v>192</v>
      </c>
      <c r="M48" s="5" t="s">
        <v>192</v>
      </c>
      <c r="N48" s="5" t="s">
        <v>192</v>
      </c>
      <c r="O48" s="5" t="s">
        <v>192</v>
      </c>
      <c r="P48" s="5" t="s">
        <v>192</v>
      </c>
      <c r="Q48" s="5" t="s">
        <v>192</v>
      </c>
      <c r="R48" s="5" t="s">
        <v>192</v>
      </c>
      <c r="S48" s="9" t="s">
        <v>192</v>
      </c>
      <c r="T48" s="9" t="s">
        <v>192</v>
      </c>
      <c r="U48" s="9">
        <v>2</v>
      </c>
      <c r="V48" s="9" t="s">
        <v>192</v>
      </c>
      <c r="W48" s="9" t="s">
        <v>192</v>
      </c>
      <c r="X48" s="9">
        <v>1</v>
      </c>
      <c r="Y48" s="9" t="s">
        <v>192</v>
      </c>
      <c r="Z48" s="9" t="s">
        <v>192</v>
      </c>
      <c r="AA48" s="9" t="s">
        <v>192</v>
      </c>
      <c r="AB48" s="9" t="s">
        <v>192</v>
      </c>
      <c r="AC48" s="9" t="s">
        <v>192</v>
      </c>
      <c r="AD48" s="9" t="s">
        <v>192</v>
      </c>
      <c r="AE48" s="9" t="s">
        <v>192</v>
      </c>
      <c r="AF48" s="38">
        <f>SUM(Table4[[#This Row],[Bacteriocin]:[T1PKS]])</f>
        <v>3</v>
      </c>
      <c r="AG48" s="9" t="s">
        <v>192</v>
      </c>
      <c r="AH48" s="9"/>
      <c r="AJ48" s="1">
        <f>Table4[[#This Row],[NRPS]]</f>
        <v>2</v>
      </c>
      <c r="AK48" s="1" t="str">
        <f>Table4[[#This Row],[T1PKS]]</f>
        <v>-</v>
      </c>
      <c r="AL48" s="1">
        <f>Table4[[#This Row],[NRPS, T1PKS]]</f>
        <v>1</v>
      </c>
      <c r="AM48" s="1" t="str">
        <f>Table4[[#This Row],[Terpene]]</f>
        <v>-</v>
      </c>
      <c r="AN48" s="25">
        <f t="shared" si="2"/>
        <v>0</v>
      </c>
      <c r="AO48" s="25">
        <f t="shared" si="3"/>
        <v>0</v>
      </c>
    </row>
    <row r="49" spans="1:41" x14ac:dyDescent="0.25">
      <c r="A49" s="9" t="s">
        <v>919</v>
      </c>
      <c r="B49" s="2" t="s">
        <v>224</v>
      </c>
      <c r="C49" s="2" t="s">
        <v>889</v>
      </c>
      <c r="D49" s="27">
        <v>170638</v>
      </c>
      <c r="E49" s="5" t="s">
        <v>192</v>
      </c>
      <c r="F49" s="5" t="s">
        <v>192</v>
      </c>
      <c r="G49" s="5" t="s">
        <v>192</v>
      </c>
      <c r="H49" s="5" t="s">
        <v>192</v>
      </c>
      <c r="I49" s="5" t="s">
        <v>192</v>
      </c>
      <c r="J49" s="5" t="s">
        <v>192</v>
      </c>
      <c r="K49" s="5" t="s">
        <v>192</v>
      </c>
      <c r="L49" s="5" t="s">
        <v>192</v>
      </c>
      <c r="M49" s="5" t="s">
        <v>192</v>
      </c>
      <c r="N49" s="5" t="s">
        <v>192</v>
      </c>
      <c r="O49" s="5" t="s">
        <v>192</v>
      </c>
      <c r="P49" s="5" t="s">
        <v>192</v>
      </c>
      <c r="Q49" s="5">
        <v>1</v>
      </c>
      <c r="R49" s="5" t="s">
        <v>192</v>
      </c>
      <c r="S49" s="9" t="s">
        <v>192</v>
      </c>
      <c r="T49" s="9" t="s">
        <v>192</v>
      </c>
      <c r="U49" s="9" t="s">
        <v>192</v>
      </c>
      <c r="V49" s="9" t="s">
        <v>192</v>
      </c>
      <c r="W49" s="9" t="s">
        <v>192</v>
      </c>
      <c r="X49" s="9" t="s">
        <v>192</v>
      </c>
      <c r="Y49" s="9" t="s">
        <v>192</v>
      </c>
      <c r="Z49" s="9" t="s">
        <v>192</v>
      </c>
      <c r="AA49" s="9" t="s">
        <v>192</v>
      </c>
      <c r="AB49" s="9" t="s">
        <v>192</v>
      </c>
      <c r="AC49" s="9" t="s">
        <v>192</v>
      </c>
      <c r="AD49" s="9" t="s">
        <v>192</v>
      </c>
      <c r="AE49" s="9" t="s">
        <v>192</v>
      </c>
      <c r="AF49" s="38">
        <f>SUM(Table4[[#This Row],[Bacteriocin]:[T1PKS]])</f>
        <v>1</v>
      </c>
      <c r="AG49" s="9" t="s">
        <v>192</v>
      </c>
      <c r="AH49" s="9"/>
      <c r="AJ49" s="1" t="str">
        <f>Table4[[#This Row],[NRPS]]</f>
        <v>-</v>
      </c>
      <c r="AK49" s="1" t="str">
        <f>Table4[[#This Row],[T1PKS]]</f>
        <v>-</v>
      </c>
      <c r="AL49" s="1" t="str">
        <f>Table4[[#This Row],[NRPS, T1PKS]]</f>
        <v>-</v>
      </c>
      <c r="AM49" s="1" t="str">
        <f>Table4[[#This Row],[Terpene]]</f>
        <v>-</v>
      </c>
      <c r="AN49" s="25">
        <f t="shared" si="2"/>
        <v>1</v>
      </c>
      <c r="AO49" s="25">
        <f t="shared" si="3"/>
        <v>0</v>
      </c>
    </row>
    <row r="50" spans="1:41" x14ac:dyDescent="0.25">
      <c r="A50" s="9" t="s">
        <v>820</v>
      </c>
      <c r="B50" s="2" t="s">
        <v>890</v>
      </c>
      <c r="C50" s="2" t="s">
        <v>891</v>
      </c>
      <c r="D50" s="27">
        <v>408101</v>
      </c>
      <c r="E50" s="5" t="s">
        <v>192</v>
      </c>
      <c r="F50" s="2" t="s">
        <v>192</v>
      </c>
      <c r="G50" s="2" t="s">
        <v>192</v>
      </c>
      <c r="H50" s="2" t="s">
        <v>192</v>
      </c>
      <c r="I50" s="2" t="s">
        <v>192</v>
      </c>
      <c r="J50" s="2" t="s">
        <v>192</v>
      </c>
      <c r="K50" s="5" t="s">
        <v>192</v>
      </c>
      <c r="L50" s="5" t="s">
        <v>192</v>
      </c>
      <c r="M50" s="5" t="s">
        <v>192</v>
      </c>
      <c r="N50" s="5" t="s">
        <v>192</v>
      </c>
      <c r="O50" s="5" t="s">
        <v>192</v>
      </c>
      <c r="P50" s="2" t="s">
        <v>192</v>
      </c>
      <c r="Q50" s="2" t="s">
        <v>192</v>
      </c>
      <c r="R50" s="2" t="s">
        <v>192</v>
      </c>
      <c r="S50" s="2">
        <v>1</v>
      </c>
      <c r="T50" s="2" t="s">
        <v>192</v>
      </c>
      <c r="U50" s="2" t="s">
        <v>192</v>
      </c>
      <c r="V50" s="2" t="s">
        <v>192</v>
      </c>
      <c r="W50" s="2" t="s">
        <v>192</v>
      </c>
      <c r="X50" s="2" t="s">
        <v>192</v>
      </c>
      <c r="Y50" s="2" t="s">
        <v>192</v>
      </c>
      <c r="Z50" s="2" t="s">
        <v>192</v>
      </c>
      <c r="AA50" s="2" t="s">
        <v>192</v>
      </c>
      <c r="AB50" s="2" t="s">
        <v>192</v>
      </c>
      <c r="AC50" s="2" t="s">
        <v>192</v>
      </c>
      <c r="AD50" s="2" t="s">
        <v>192</v>
      </c>
      <c r="AE50" s="2" t="s">
        <v>192</v>
      </c>
      <c r="AF50" s="38">
        <f>SUM(Table4[[#This Row],[Bacteriocin]:[T1PKS]])</f>
        <v>1</v>
      </c>
      <c r="AG50" s="2" t="s">
        <v>192</v>
      </c>
      <c r="AH50" s="36"/>
      <c r="AJ50" s="1" t="str">
        <f>Table4[[#This Row],[NRPS]]</f>
        <v>-</v>
      </c>
      <c r="AK50" s="1" t="str">
        <f>Table4[[#This Row],[T1PKS]]</f>
        <v>-</v>
      </c>
      <c r="AL50" s="1" t="str">
        <f>Table4[[#This Row],[NRPS, T1PKS]]</f>
        <v>-</v>
      </c>
      <c r="AM50" s="1" t="str">
        <f>Table4[[#This Row],[Terpene]]</f>
        <v>-</v>
      </c>
      <c r="AN50" s="25">
        <f t="shared" si="2"/>
        <v>1</v>
      </c>
      <c r="AO50" s="25">
        <f t="shared" si="3"/>
        <v>0</v>
      </c>
    </row>
    <row r="51" spans="1:41" x14ac:dyDescent="0.25">
      <c r="A51" s="19" t="s">
        <v>931</v>
      </c>
      <c r="B51" s="9" t="s">
        <v>418</v>
      </c>
      <c r="C51" s="2" t="s">
        <v>892</v>
      </c>
      <c r="D51" s="27">
        <v>39542</v>
      </c>
      <c r="E51" s="5" t="s">
        <v>192</v>
      </c>
      <c r="F51" s="5" t="s">
        <v>192</v>
      </c>
      <c r="G51" s="5" t="s">
        <v>192</v>
      </c>
      <c r="H51" s="5" t="s">
        <v>192</v>
      </c>
      <c r="I51" s="5" t="s">
        <v>192</v>
      </c>
      <c r="J51" s="5" t="s">
        <v>192</v>
      </c>
      <c r="K51" s="5" t="s">
        <v>192</v>
      </c>
      <c r="L51" s="5" t="s">
        <v>192</v>
      </c>
      <c r="M51" s="5" t="s">
        <v>192</v>
      </c>
      <c r="N51" s="5" t="s">
        <v>192</v>
      </c>
      <c r="O51" s="5" t="s">
        <v>192</v>
      </c>
      <c r="P51" s="5" t="s">
        <v>192</v>
      </c>
      <c r="Q51" s="5" t="s">
        <v>192</v>
      </c>
      <c r="R51" s="5" t="s">
        <v>192</v>
      </c>
      <c r="S51" s="9" t="s">
        <v>192</v>
      </c>
      <c r="T51" s="9" t="s">
        <v>192</v>
      </c>
      <c r="U51" s="9" t="s">
        <v>192</v>
      </c>
      <c r="V51" s="9" t="s">
        <v>192</v>
      </c>
      <c r="W51" s="9" t="s">
        <v>192</v>
      </c>
      <c r="X51" s="9" t="s">
        <v>192</v>
      </c>
      <c r="Y51" s="9" t="s">
        <v>192</v>
      </c>
      <c r="Z51" s="9" t="s">
        <v>192</v>
      </c>
      <c r="AA51" s="9" t="s">
        <v>192</v>
      </c>
      <c r="AB51" s="9">
        <v>1</v>
      </c>
      <c r="AC51" s="9" t="s">
        <v>192</v>
      </c>
      <c r="AD51" s="9" t="s">
        <v>192</v>
      </c>
      <c r="AE51" s="9" t="s">
        <v>192</v>
      </c>
      <c r="AF51" s="38">
        <f>SUM(Table4[[#This Row],[Bacteriocin]:[T1PKS]])</f>
        <v>1</v>
      </c>
      <c r="AG51" s="9" t="s">
        <v>192</v>
      </c>
      <c r="AH51" s="9"/>
      <c r="AJ51" s="1" t="str">
        <f>Table4[[#This Row],[NRPS]]</f>
        <v>-</v>
      </c>
      <c r="AK51" s="1" t="str">
        <f>Table4[[#This Row],[T1PKS]]</f>
        <v>-</v>
      </c>
      <c r="AL51" s="1" t="str">
        <f>Table4[[#This Row],[NRPS, T1PKS]]</f>
        <v>-</v>
      </c>
      <c r="AM51" s="1">
        <f>Table4[[#This Row],[Terpene]]</f>
        <v>1</v>
      </c>
      <c r="AN51" s="25">
        <f t="shared" si="2"/>
        <v>0</v>
      </c>
      <c r="AO51" s="25">
        <f t="shared" si="3"/>
        <v>0</v>
      </c>
    </row>
    <row r="52" spans="1:41" x14ac:dyDescent="0.25">
      <c r="A52" s="9" t="s">
        <v>664</v>
      </c>
      <c r="B52" s="2" t="s">
        <v>893</v>
      </c>
      <c r="C52" s="2" t="s">
        <v>894</v>
      </c>
      <c r="D52" s="28">
        <v>274358</v>
      </c>
      <c r="E52" s="5" t="s">
        <v>192</v>
      </c>
      <c r="F52" s="5" t="s">
        <v>192</v>
      </c>
      <c r="G52" s="5" t="s">
        <v>192</v>
      </c>
      <c r="H52" s="5" t="s">
        <v>192</v>
      </c>
      <c r="I52" s="5" t="s">
        <v>192</v>
      </c>
      <c r="J52" s="5" t="s">
        <v>192</v>
      </c>
      <c r="K52" s="5" t="s">
        <v>192</v>
      </c>
      <c r="L52" s="5" t="s">
        <v>192</v>
      </c>
      <c r="M52" s="5" t="s">
        <v>192</v>
      </c>
      <c r="N52" s="5" t="s">
        <v>192</v>
      </c>
      <c r="O52" s="5" t="s">
        <v>192</v>
      </c>
      <c r="P52" s="5" t="s">
        <v>192</v>
      </c>
      <c r="Q52" s="5" t="s">
        <v>192</v>
      </c>
      <c r="R52" s="5" t="s">
        <v>192</v>
      </c>
      <c r="S52" s="9" t="s">
        <v>192</v>
      </c>
      <c r="T52" s="9" t="s">
        <v>192</v>
      </c>
      <c r="U52" s="9">
        <v>1</v>
      </c>
      <c r="V52" s="9" t="s">
        <v>192</v>
      </c>
      <c r="W52" s="9" t="s">
        <v>192</v>
      </c>
      <c r="X52" s="9" t="s">
        <v>192</v>
      </c>
      <c r="Y52" s="9" t="s">
        <v>192</v>
      </c>
      <c r="Z52" s="9" t="s">
        <v>192</v>
      </c>
      <c r="AA52" s="9" t="s">
        <v>192</v>
      </c>
      <c r="AB52" s="9" t="s">
        <v>192</v>
      </c>
      <c r="AC52" s="9" t="s">
        <v>192</v>
      </c>
      <c r="AD52" s="9" t="s">
        <v>192</v>
      </c>
      <c r="AE52" s="9" t="s">
        <v>192</v>
      </c>
      <c r="AF52" s="31">
        <f>SUM(Table4[[#This Row],[Bacteriocin]:[T1PKS]])</f>
        <v>1</v>
      </c>
      <c r="AG52" s="9" t="s">
        <v>192</v>
      </c>
      <c r="AH52" s="9"/>
      <c r="AJ52" s="1">
        <f>Table4[[#This Row],[NRPS]]</f>
        <v>1</v>
      </c>
      <c r="AK52" s="1" t="str">
        <f>Table4[[#This Row],[T1PKS]]</f>
        <v>-</v>
      </c>
      <c r="AL52" s="1" t="str">
        <f>Table4[[#This Row],[NRPS, T1PKS]]</f>
        <v>-</v>
      </c>
      <c r="AM52" s="1" t="str">
        <f>Table4[[#This Row],[Terpene]]</f>
        <v>-</v>
      </c>
      <c r="AN52" s="25">
        <f t="shared" si="2"/>
        <v>0</v>
      </c>
      <c r="AO52" s="25">
        <f t="shared" si="3"/>
        <v>0</v>
      </c>
    </row>
    <row r="53" spans="1:41" x14ac:dyDescent="0.25">
      <c r="A53" s="9" t="s">
        <v>664</v>
      </c>
      <c r="B53" s="2" t="s">
        <v>895</v>
      </c>
      <c r="C53" s="2" t="s">
        <v>896</v>
      </c>
      <c r="D53" s="28">
        <v>216837</v>
      </c>
      <c r="E53" s="5" t="s">
        <v>192</v>
      </c>
      <c r="F53" s="5" t="s">
        <v>192</v>
      </c>
      <c r="G53" s="5" t="s">
        <v>192</v>
      </c>
      <c r="H53" s="5" t="s">
        <v>192</v>
      </c>
      <c r="I53" s="5" t="s">
        <v>192</v>
      </c>
      <c r="J53" s="5" t="s">
        <v>192</v>
      </c>
      <c r="K53" s="5" t="s">
        <v>192</v>
      </c>
      <c r="L53" s="5" t="s">
        <v>192</v>
      </c>
      <c r="M53" s="5" t="s">
        <v>192</v>
      </c>
      <c r="N53" s="5" t="s">
        <v>192</v>
      </c>
      <c r="O53" s="5" t="s">
        <v>192</v>
      </c>
      <c r="P53" s="5" t="s">
        <v>192</v>
      </c>
      <c r="Q53" s="5" t="s">
        <v>192</v>
      </c>
      <c r="R53" s="5" t="s">
        <v>192</v>
      </c>
      <c r="S53" s="9" t="s">
        <v>192</v>
      </c>
      <c r="T53" s="9" t="s">
        <v>192</v>
      </c>
      <c r="U53" s="9" t="s">
        <v>192</v>
      </c>
      <c r="V53" s="9" t="s">
        <v>192</v>
      </c>
      <c r="W53" s="9" t="s">
        <v>192</v>
      </c>
      <c r="X53" s="9">
        <v>1</v>
      </c>
      <c r="Y53" s="9" t="s">
        <v>192</v>
      </c>
      <c r="Z53" s="9" t="s">
        <v>192</v>
      </c>
      <c r="AA53" s="9" t="s">
        <v>192</v>
      </c>
      <c r="AB53" s="9" t="s">
        <v>192</v>
      </c>
      <c r="AC53" s="9" t="s">
        <v>192</v>
      </c>
      <c r="AD53" s="9" t="s">
        <v>192</v>
      </c>
      <c r="AE53" s="9" t="s">
        <v>192</v>
      </c>
      <c r="AF53" s="31">
        <f>SUM(Table4[[#This Row],[Bacteriocin]:[T1PKS]])</f>
        <v>1</v>
      </c>
      <c r="AG53" s="9" t="s">
        <v>192</v>
      </c>
      <c r="AH53" s="9"/>
      <c r="AJ53" s="1" t="str">
        <f>Table4[[#This Row],[NRPS]]</f>
        <v>-</v>
      </c>
      <c r="AK53" s="1" t="str">
        <f>Table4[[#This Row],[T1PKS]]</f>
        <v>-</v>
      </c>
      <c r="AL53" s="1">
        <f>Table4[[#This Row],[NRPS, T1PKS]]</f>
        <v>1</v>
      </c>
      <c r="AM53" s="1" t="str">
        <f>Table4[[#This Row],[Terpene]]</f>
        <v>-</v>
      </c>
      <c r="AN53" s="25">
        <f t="shared" si="2"/>
        <v>0</v>
      </c>
      <c r="AO53" s="25">
        <f t="shared" si="3"/>
        <v>0</v>
      </c>
    </row>
    <row r="54" spans="1:41" x14ac:dyDescent="0.25">
      <c r="A54" s="9" t="s">
        <v>664</v>
      </c>
      <c r="B54" s="2" t="s">
        <v>897</v>
      </c>
      <c r="C54" s="2" t="s">
        <v>898</v>
      </c>
      <c r="D54" s="28">
        <v>42048</v>
      </c>
      <c r="E54" s="5" t="s">
        <v>192</v>
      </c>
      <c r="F54" s="5" t="s">
        <v>192</v>
      </c>
      <c r="G54" s="5" t="s">
        <v>192</v>
      </c>
      <c r="H54" s="5" t="s">
        <v>192</v>
      </c>
      <c r="I54" s="5" t="s">
        <v>192</v>
      </c>
      <c r="J54" s="5">
        <v>1</v>
      </c>
      <c r="K54" s="5" t="s">
        <v>192</v>
      </c>
      <c r="L54" s="5" t="s">
        <v>192</v>
      </c>
      <c r="M54" s="5" t="s">
        <v>192</v>
      </c>
      <c r="N54" s="5" t="s">
        <v>192</v>
      </c>
      <c r="O54" s="5" t="s">
        <v>192</v>
      </c>
      <c r="P54" s="5" t="s">
        <v>192</v>
      </c>
      <c r="Q54" s="5" t="s">
        <v>192</v>
      </c>
      <c r="R54" s="5" t="s">
        <v>192</v>
      </c>
      <c r="S54" s="9" t="s">
        <v>192</v>
      </c>
      <c r="T54" s="9" t="s">
        <v>192</v>
      </c>
      <c r="U54" s="9" t="s">
        <v>192</v>
      </c>
      <c r="V54" s="9" t="s">
        <v>192</v>
      </c>
      <c r="W54" s="9" t="s">
        <v>192</v>
      </c>
      <c r="X54" s="9" t="s">
        <v>192</v>
      </c>
      <c r="Y54" s="9" t="s">
        <v>192</v>
      </c>
      <c r="Z54" s="9" t="s">
        <v>192</v>
      </c>
      <c r="AA54" s="9" t="s">
        <v>192</v>
      </c>
      <c r="AB54" s="9" t="s">
        <v>192</v>
      </c>
      <c r="AC54" s="9" t="s">
        <v>192</v>
      </c>
      <c r="AD54" s="9" t="s">
        <v>192</v>
      </c>
      <c r="AE54" s="9" t="s">
        <v>192</v>
      </c>
      <c r="AF54" s="31">
        <f>SUM(Table4[[#This Row],[Bacteriocin]:[T1PKS]])</f>
        <v>1</v>
      </c>
      <c r="AG54" s="9" t="s">
        <v>192</v>
      </c>
      <c r="AH54" s="9"/>
      <c r="AJ54" s="1" t="str">
        <f>Table4[[#This Row],[NRPS]]</f>
        <v>-</v>
      </c>
      <c r="AK54" s="1" t="str">
        <f>Table4[[#This Row],[T1PKS]]</f>
        <v>-</v>
      </c>
      <c r="AL54" s="1" t="str">
        <f>Table4[[#This Row],[NRPS, T1PKS]]</f>
        <v>-</v>
      </c>
      <c r="AM54" s="1" t="str">
        <f>Table4[[#This Row],[Terpene]]</f>
        <v>-</v>
      </c>
      <c r="AN54" s="25">
        <f t="shared" si="2"/>
        <v>0</v>
      </c>
      <c r="AO54" s="25">
        <f t="shared" si="3"/>
        <v>1</v>
      </c>
    </row>
    <row r="55" spans="1:41" x14ac:dyDescent="0.25">
      <c r="A55" s="9" t="s">
        <v>714</v>
      </c>
      <c r="B55" s="2" t="s">
        <v>827</v>
      </c>
      <c r="C55" s="2" t="s">
        <v>842</v>
      </c>
      <c r="D55" s="27">
        <v>64128</v>
      </c>
      <c r="E55" s="5" t="s">
        <v>192</v>
      </c>
      <c r="F55" s="5" t="s">
        <v>192</v>
      </c>
      <c r="G55" s="5" t="s">
        <v>192</v>
      </c>
      <c r="H55" s="5" t="s">
        <v>192</v>
      </c>
      <c r="I55" s="5" t="s">
        <v>192</v>
      </c>
      <c r="J55" s="5" t="s">
        <v>192</v>
      </c>
      <c r="K55" s="5" t="s">
        <v>192</v>
      </c>
      <c r="L55" s="5" t="s">
        <v>192</v>
      </c>
      <c r="M55" s="5" t="s">
        <v>192</v>
      </c>
      <c r="N55" s="5" t="s">
        <v>192</v>
      </c>
      <c r="O55" s="5" t="s">
        <v>192</v>
      </c>
      <c r="P55" s="5" t="s">
        <v>192</v>
      </c>
      <c r="Q55" s="5" t="s">
        <v>192</v>
      </c>
      <c r="R55" s="5" t="s">
        <v>192</v>
      </c>
      <c r="S55" s="2" t="s">
        <v>192</v>
      </c>
      <c r="T55" s="2" t="s">
        <v>192</v>
      </c>
      <c r="U55" s="2">
        <v>1</v>
      </c>
      <c r="V55" s="2" t="s">
        <v>192</v>
      </c>
      <c r="W55" s="2" t="s">
        <v>192</v>
      </c>
      <c r="X55" s="2" t="s">
        <v>192</v>
      </c>
      <c r="Y55" s="2" t="s">
        <v>192</v>
      </c>
      <c r="Z55" s="2" t="s">
        <v>192</v>
      </c>
      <c r="AA55" s="2" t="s">
        <v>192</v>
      </c>
      <c r="AB55" s="2" t="s">
        <v>192</v>
      </c>
      <c r="AC55" s="2" t="s">
        <v>192</v>
      </c>
      <c r="AD55" s="2" t="s">
        <v>192</v>
      </c>
      <c r="AE55" s="2" t="s">
        <v>192</v>
      </c>
      <c r="AF55" s="38">
        <f>SUM(Table4[[#This Row],[Bacteriocin]:[T1PKS]])</f>
        <v>1</v>
      </c>
      <c r="AG55" s="2" t="s">
        <v>192</v>
      </c>
      <c r="AH55" s="36"/>
      <c r="AJ55" s="1">
        <f>Table4[[#This Row],[NRPS]]</f>
        <v>1</v>
      </c>
      <c r="AK55" s="1" t="str">
        <f>Table4[[#This Row],[T1PKS]]</f>
        <v>-</v>
      </c>
      <c r="AL55" s="1" t="str">
        <f>Table4[[#This Row],[NRPS, T1PKS]]</f>
        <v>-</v>
      </c>
      <c r="AM55" s="1" t="str">
        <f>Table4[[#This Row],[Terpene]]</f>
        <v>-</v>
      </c>
      <c r="AN55" s="25">
        <f t="shared" si="2"/>
        <v>0</v>
      </c>
      <c r="AO55" s="25">
        <f t="shared" si="3"/>
        <v>0</v>
      </c>
    </row>
    <row r="56" spans="1:41" x14ac:dyDescent="0.25">
      <c r="A56" s="9" t="s">
        <v>662</v>
      </c>
      <c r="B56" s="2" t="s">
        <v>231</v>
      </c>
      <c r="C56" s="2" t="s">
        <v>899</v>
      </c>
      <c r="D56" s="27">
        <v>99115</v>
      </c>
      <c r="E56" s="5" t="s">
        <v>192</v>
      </c>
      <c r="F56" s="5" t="s">
        <v>192</v>
      </c>
      <c r="G56" s="5" t="s">
        <v>192</v>
      </c>
      <c r="H56" s="5" t="s">
        <v>192</v>
      </c>
      <c r="I56" s="5" t="s">
        <v>192</v>
      </c>
      <c r="J56" s="5" t="s">
        <v>192</v>
      </c>
      <c r="K56" s="5" t="s">
        <v>192</v>
      </c>
      <c r="L56" s="5" t="s">
        <v>192</v>
      </c>
      <c r="M56" s="5" t="s">
        <v>192</v>
      </c>
      <c r="N56" s="5" t="s">
        <v>192</v>
      </c>
      <c r="O56" s="5" t="s">
        <v>192</v>
      </c>
      <c r="P56" s="5" t="s">
        <v>192</v>
      </c>
      <c r="Q56" s="5" t="s">
        <v>192</v>
      </c>
      <c r="R56" s="5" t="s">
        <v>192</v>
      </c>
      <c r="S56" s="9" t="s">
        <v>192</v>
      </c>
      <c r="T56" s="9" t="s">
        <v>192</v>
      </c>
      <c r="U56" s="9" t="s">
        <v>192</v>
      </c>
      <c r="V56" s="9" t="s">
        <v>192</v>
      </c>
      <c r="W56" s="9">
        <v>1</v>
      </c>
      <c r="X56" s="9" t="s">
        <v>192</v>
      </c>
      <c r="Y56" s="9" t="s">
        <v>192</v>
      </c>
      <c r="Z56" s="9" t="s">
        <v>192</v>
      </c>
      <c r="AA56" s="9" t="s">
        <v>192</v>
      </c>
      <c r="AB56" s="9" t="s">
        <v>192</v>
      </c>
      <c r="AC56" s="9" t="s">
        <v>192</v>
      </c>
      <c r="AD56" s="9" t="s">
        <v>192</v>
      </c>
      <c r="AE56" s="9">
        <v>1</v>
      </c>
      <c r="AF56" s="38">
        <f>SUM(Table4[[#This Row],[Bacteriocin]:[T1PKS]])</f>
        <v>2</v>
      </c>
      <c r="AG56" s="9" t="s">
        <v>192</v>
      </c>
      <c r="AH56" s="9"/>
      <c r="AJ56" s="1" t="str">
        <f>Table4[[#This Row],[NRPS]]</f>
        <v>-</v>
      </c>
      <c r="AK56" s="1">
        <f>Table4[[#This Row],[T1PKS]]</f>
        <v>1</v>
      </c>
      <c r="AL56" s="1" t="str">
        <f>Table4[[#This Row],[NRPS, T1PKS]]</f>
        <v>-</v>
      </c>
      <c r="AM56" s="1" t="str">
        <f>Table4[[#This Row],[Terpene]]</f>
        <v>-</v>
      </c>
      <c r="AN56" s="25">
        <f t="shared" si="2"/>
        <v>0</v>
      </c>
      <c r="AO56" s="25">
        <f t="shared" si="3"/>
        <v>1</v>
      </c>
    </row>
    <row r="57" spans="1:41" x14ac:dyDescent="0.25">
      <c r="A57" s="9" t="s">
        <v>641</v>
      </c>
      <c r="B57" s="2" t="s">
        <v>345</v>
      </c>
      <c r="C57" s="2" t="s">
        <v>900</v>
      </c>
      <c r="D57" s="27">
        <v>119569</v>
      </c>
      <c r="E57" s="5">
        <v>1</v>
      </c>
      <c r="F57" s="5" t="s">
        <v>192</v>
      </c>
      <c r="G57" s="5" t="s">
        <v>192</v>
      </c>
      <c r="H57" s="5" t="s">
        <v>192</v>
      </c>
      <c r="I57" s="5" t="s">
        <v>192</v>
      </c>
      <c r="J57" s="5" t="s">
        <v>192</v>
      </c>
      <c r="K57" s="5" t="s">
        <v>192</v>
      </c>
      <c r="L57" s="5" t="s">
        <v>192</v>
      </c>
      <c r="M57" s="5" t="s">
        <v>192</v>
      </c>
      <c r="N57" s="5" t="s">
        <v>192</v>
      </c>
      <c r="O57" s="5" t="s">
        <v>192</v>
      </c>
      <c r="P57" s="5" t="s">
        <v>192</v>
      </c>
      <c r="Q57" s="5" t="s">
        <v>192</v>
      </c>
      <c r="R57" s="5" t="s">
        <v>192</v>
      </c>
      <c r="S57" s="2" t="s">
        <v>192</v>
      </c>
      <c r="T57" s="2" t="s">
        <v>192</v>
      </c>
      <c r="U57" s="2" t="s">
        <v>192</v>
      </c>
      <c r="V57" s="2" t="s">
        <v>192</v>
      </c>
      <c r="W57" s="2" t="s">
        <v>192</v>
      </c>
      <c r="X57" s="2" t="s">
        <v>192</v>
      </c>
      <c r="Y57" s="2" t="s">
        <v>192</v>
      </c>
      <c r="Z57" s="2" t="s">
        <v>192</v>
      </c>
      <c r="AA57" s="2" t="s">
        <v>192</v>
      </c>
      <c r="AB57" s="2" t="s">
        <v>192</v>
      </c>
      <c r="AC57" s="2" t="s">
        <v>192</v>
      </c>
      <c r="AD57" s="2" t="s">
        <v>192</v>
      </c>
      <c r="AE57" s="2" t="s">
        <v>192</v>
      </c>
      <c r="AF57" s="38">
        <f>SUM(Table4[[#This Row],[Bacteriocin]:[T1PKS]])</f>
        <v>1</v>
      </c>
      <c r="AG57" s="2" t="s">
        <v>192</v>
      </c>
      <c r="AH57" s="36"/>
      <c r="AJ57" s="1" t="str">
        <f>Table4[[#This Row],[NRPS]]</f>
        <v>-</v>
      </c>
      <c r="AK57" s="1" t="str">
        <f>Table4[[#This Row],[T1PKS]]</f>
        <v>-</v>
      </c>
      <c r="AL57" s="1" t="str">
        <f>Table4[[#This Row],[NRPS, T1PKS]]</f>
        <v>-</v>
      </c>
      <c r="AM57" s="1" t="str">
        <f>Table4[[#This Row],[Terpene]]</f>
        <v>-</v>
      </c>
      <c r="AN57" s="25">
        <f t="shared" si="2"/>
        <v>1</v>
      </c>
      <c r="AO57" s="25">
        <f t="shared" si="3"/>
        <v>0</v>
      </c>
    </row>
    <row r="58" spans="1:41" x14ac:dyDescent="0.25">
      <c r="A58" s="9" t="s">
        <v>821</v>
      </c>
      <c r="B58" s="2" t="s">
        <v>344</v>
      </c>
      <c r="C58" s="2" t="s">
        <v>901</v>
      </c>
      <c r="D58" s="27">
        <v>79106</v>
      </c>
      <c r="E58" s="5" t="s">
        <v>192</v>
      </c>
      <c r="F58" s="5" t="s">
        <v>192</v>
      </c>
      <c r="G58" s="5" t="s">
        <v>192</v>
      </c>
      <c r="H58" s="5" t="s">
        <v>192</v>
      </c>
      <c r="I58" s="5" t="s">
        <v>192</v>
      </c>
      <c r="J58" s="5" t="s">
        <v>192</v>
      </c>
      <c r="K58" s="5" t="s">
        <v>192</v>
      </c>
      <c r="L58" s="5" t="s">
        <v>192</v>
      </c>
      <c r="M58" s="5" t="s">
        <v>192</v>
      </c>
      <c r="N58" s="5" t="s">
        <v>192</v>
      </c>
      <c r="O58" s="5" t="s">
        <v>192</v>
      </c>
      <c r="P58" s="5" t="s">
        <v>192</v>
      </c>
      <c r="Q58" s="5" t="s">
        <v>192</v>
      </c>
      <c r="R58" s="5" t="s">
        <v>192</v>
      </c>
      <c r="S58" s="2" t="s">
        <v>192</v>
      </c>
      <c r="T58" s="2" t="s">
        <v>192</v>
      </c>
      <c r="U58" s="2" t="s">
        <v>192</v>
      </c>
      <c r="V58" s="2" t="s">
        <v>192</v>
      </c>
      <c r="W58" s="2">
        <v>1</v>
      </c>
      <c r="X58" s="2" t="s">
        <v>192</v>
      </c>
      <c r="Y58" s="2" t="s">
        <v>192</v>
      </c>
      <c r="Z58" s="2" t="s">
        <v>192</v>
      </c>
      <c r="AA58" s="2" t="s">
        <v>192</v>
      </c>
      <c r="AB58" s="2" t="s">
        <v>192</v>
      </c>
      <c r="AC58" s="2" t="s">
        <v>192</v>
      </c>
      <c r="AD58" s="2" t="s">
        <v>192</v>
      </c>
      <c r="AE58" s="2" t="s">
        <v>192</v>
      </c>
      <c r="AF58" s="38">
        <f>SUM(Table4[[#This Row],[Bacteriocin]:[T1PKS]])</f>
        <v>1</v>
      </c>
      <c r="AG58" s="9" t="s">
        <v>192</v>
      </c>
      <c r="AH58" s="9"/>
      <c r="AJ58" s="1" t="str">
        <f>Table4[[#This Row],[NRPS]]</f>
        <v>-</v>
      </c>
      <c r="AK58" s="1" t="str">
        <f>Table4[[#This Row],[T1PKS]]</f>
        <v>-</v>
      </c>
      <c r="AL58" s="1" t="str">
        <f>Table4[[#This Row],[NRPS, T1PKS]]</f>
        <v>-</v>
      </c>
      <c r="AM58" s="1" t="str">
        <f>Table4[[#This Row],[Terpene]]</f>
        <v>-</v>
      </c>
      <c r="AN58" s="25">
        <f t="shared" si="2"/>
        <v>0</v>
      </c>
      <c r="AO58" s="25">
        <f t="shared" si="3"/>
        <v>1</v>
      </c>
    </row>
    <row r="59" spans="1:41" x14ac:dyDescent="0.25">
      <c r="A59" s="9" t="s">
        <v>660</v>
      </c>
      <c r="B59" s="9" t="s">
        <v>362</v>
      </c>
      <c r="C59" s="2" t="s">
        <v>902</v>
      </c>
      <c r="D59" s="27">
        <v>125503</v>
      </c>
      <c r="E59" s="5">
        <v>1</v>
      </c>
      <c r="F59" s="5" t="s">
        <v>192</v>
      </c>
      <c r="G59" s="5" t="s">
        <v>192</v>
      </c>
      <c r="H59" s="5" t="s">
        <v>192</v>
      </c>
      <c r="I59" s="5" t="s">
        <v>192</v>
      </c>
      <c r="J59" s="5" t="s">
        <v>192</v>
      </c>
      <c r="K59" s="5" t="s">
        <v>192</v>
      </c>
      <c r="L59" s="5" t="s">
        <v>192</v>
      </c>
      <c r="M59" s="5" t="s">
        <v>192</v>
      </c>
      <c r="N59" s="5" t="s">
        <v>192</v>
      </c>
      <c r="O59" s="5" t="s">
        <v>192</v>
      </c>
      <c r="P59" s="5" t="s">
        <v>192</v>
      </c>
      <c r="Q59" s="5" t="s">
        <v>192</v>
      </c>
      <c r="R59" s="5" t="s">
        <v>192</v>
      </c>
      <c r="S59" s="9" t="s">
        <v>192</v>
      </c>
      <c r="T59" s="9" t="s">
        <v>192</v>
      </c>
      <c r="U59" s="9" t="s">
        <v>192</v>
      </c>
      <c r="V59" s="9" t="s">
        <v>192</v>
      </c>
      <c r="W59" s="9" t="s">
        <v>192</v>
      </c>
      <c r="X59" s="9" t="s">
        <v>192</v>
      </c>
      <c r="Y59" s="9" t="s">
        <v>192</v>
      </c>
      <c r="Z59" s="9" t="s">
        <v>192</v>
      </c>
      <c r="AA59" s="9" t="s">
        <v>192</v>
      </c>
      <c r="AB59" s="9" t="s">
        <v>192</v>
      </c>
      <c r="AC59" s="9" t="s">
        <v>192</v>
      </c>
      <c r="AD59" s="9" t="s">
        <v>192</v>
      </c>
      <c r="AE59" s="9" t="s">
        <v>192</v>
      </c>
      <c r="AF59" s="38">
        <f>SUM(Table4[[#This Row],[Bacteriocin]:[T1PKS]])</f>
        <v>1</v>
      </c>
      <c r="AG59" s="9" t="s">
        <v>192</v>
      </c>
      <c r="AH59" s="9"/>
      <c r="AJ59" s="1" t="str">
        <f>Table4[[#This Row],[NRPS]]</f>
        <v>-</v>
      </c>
      <c r="AK59" s="1" t="str">
        <f>Table4[[#This Row],[T1PKS]]</f>
        <v>-</v>
      </c>
      <c r="AL59" s="1" t="str">
        <f>Table4[[#This Row],[NRPS, T1PKS]]</f>
        <v>-</v>
      </c>
      <c r="AM59" s="1" t="str">
        <f>Table4[[#This Row],[Terpene]]</f>
        <v>-</v>
      </c>
      <c r="AN59" s="25">
        <f t="shared" si="2"/>
        <v>1</v>
      </c>
      <c r="AO59" s="25">
        <f t="shared" si="3"/>
        <v>0</v>
      </c>
    </row>
    <row r="60" spans="1:41" x14ac:dyDescent="0.25">
      <c r="A60" s="9" t="s">
        <v>660</v>
      </c>
      <c r="B60" s="9" t="s">
        <v>363</v>
      </c>
      <c r="C60" s="2" t="s">
        <v>903</v>
      </c>
      <c r="D60" s="27">
        <v>111135</v>
      </c>
      <c r="E60" s="5" t="s">
        <v>192</v>
      </c>
      <c r="F60" s="5" t="s">
        <v>192</v>
      </c>
      <c r="G60" s="5" t="s">
        <v>192</v>
      </c>
      <c r="H60" s="5" t="s">
        <v>192</v>
      </c>
      <c r="I60" s="5" t="s">
        <v>192</v>
      </c>
      <c r="J60" s="5" t="s">
        <v>192</v>
      </c>
      <c r="K60" s="5" t="s">
        <v>192</v>
      </c>
      <c r="L60" s="5" t="s">
        <v>192</v>
      </c>
      <c r="M60" s="5" t="s">
        <v>192</v>
      </c>
      <c r="N60" s="5" t="s">
        <v>192</v>
      </c>
      <c r="O60" s="5" t="s">
        <v>192</v>
      </c>
      <c r="P60" s="5" t="s">
        <v>192</v>
      </c>
      <c r="Q60" s="5" t="s">
        <v>192</v>
      </c>
      <c r="R60" s="5" t="s">
        <v>192</v>
      </c>
      <c r="S60" s="9" t="s">
        <v>192</v>
      </c>
      <c r="T60" s="9" t="s">
        <v>192</v>
      </c>
      <c r="U60" s="9" t="s">
        <v>192</v>
      </c>
      <c r="V60" s="9" t="s">
        <v>192</v>
      </c>
      <c r="W60" s="9" t="s">
        <v>192</v>
      </c>
      <c r="X60" s="9">
        <v>1</v>
      </c>
      <c r="Y60" s="9" t="s">
        <v>192</v>
      </c>
      <c r="Z60" s="9" t="s">
        <v>192</v>
      </c>
      <c r="AA60" s="9" t="s">
        <v>192</v>
      </c>
      <c r="AB60" s="9" t="s">
        <v>192</v>
      </c>
      <c r="AC60" s="9" t="s">
        <v>192</v>
      </c>
      <c r="AD60" s="9" t="s">
        <v>192</v>
      </c>
      <c r="AE60" s="9" t="s">
        <v>192</v>
      </c>
      <c r="AF60" s="38">
        <f>SUM(Table4[[#This Row],[Bacteriocin]:[T1PKS]])</f>
        <v>1</v>
      </c>
      <c r="AG60" s="9" t="s">
        <v>192</v>
      </c>
      <c r="AH60" s="9"/>
      <c r="AI60" s="3"/>
      <c r="AJ60" s="1" t="str">
        <f>Table4[[#This Row],[NRPS]]</f>
        <v>-</v>
      </c>
      <c r="AK60" s="1" t="str">
        <f>Table4[[#This Row],[T1PKS]]</f>
        <v>-</v>
      </c>
      <c r="AL60" s="1">
        <f>Table4[[#This Row],[NRPS, T1PKS]]</f>
        <v>1</v>
      </c>
      <c r="AM60" s="1" t="str">
        <f>Table4[[#This Row],[Terpene]]</f>
        <v>-</v>
      </c>
      <c r="AN60" s="25">
        <f t="shared" si="2"/>
        <v>0</v>
      </c>
      <c r="AO60" s="25">
        <f t="shared" si="3"/>
        <v>0</v>
      </c>
    </row>
    <row r="61" spans="1:41" x14ac:dyDescent="0.25">
      <c r="A61" s="9" t="s">
        <v>660</v>
      </c>
      <c r="B61" s="9" t="s">
        <v>364</v>
      </c>
      <c r="C61" s="2" t="s">
        <v>904</v>
      </c>
      <c r="D61" s="27">
        <v>39758</v>
      </c>
      <c r="E61" s="5" t="s">
        <v>192</v>
      </c>
      <c r="F61" s="5" t="s">
        <v>192</v>
      </c>
      <c r="G61" s="5" t="s">
        <v>192</v>
      </c>
      <c r="H61" s="5" t="s">
        <v>192</v>
      </c>
      <c r="I61" s="5" t="s">
        <v>192</v>
      </c>
      <c r="J61" s="5" t="s">
        <v>192</v>
      </c>
      <c r="K61" s="5" t="s">
        <v>192</v>
      </c>
      <c r="L61" s="5" t="s">
        <v>192</v>
      </c>
      <c r="M61" s="5" t="s">
        <v>192</v>
      </c>
      <c r="N61" s="5" t="s">
        <v>192</v>
      </c>
      <c r="O61" s="5" t="s">
        <v>192</v>
      </c>
      <c r="P61" s="5" t="s">
        <v>192</v>
      </c>
      <c r="Q61" s="5" t="s">
        <v>192</v>
      </c>
      <c r="R61" s="5" t="s">
        <v>192</v>
      </c>
      <c r="S61" s="9" t="s">
        <v>192</v>
      </c>
      <c r="T61" s="9" t="s">
        <v>192</v>
      </c>
      <c r="U61" s="9" t="s">
        <v>192</v>
      </c>
      <c r="V61" s="9" t="s">
        <v>192</v>
      </c>
      <c r="W61" s="9" t="s">
        <v>192</v>
      </c>
      <c r="X61" s="9">
        <v>1</v>
      </c>
      <c r="Y61" s="9" t="s">
        <v>192</v>
      </c>
      <c r="Z61" s="9" t="s">
        <v>192</v>
      </c>
      <c r="AA61" s="9" t="s">
        <v>192</v>
      </c>
      <c r="AB61" s="9" t="s">
        <v>192</v>
      </c>
      <c r="AC61" s="9" t="s">
        <v>192</v>
      </c>
      <c r="AD61" s="9" t="s">
        <v>192</v>
      </c>
      <c r="AE61" s="9" t="s">
        <v>192</v>
      </c>
      <c r="AF61" s="38">
        <f>SUM(Table4[[#This Row],[Bacteriocin]:[T1PKS]])</f>
        <v>1</v>
      </c>
      <c r="AG61" s="9" t="s">
        <v>192</v>
      </c>
      <c r="AH61" s="9"/>
      <c r="AI61" s="3"/>
      <c r="AJ61" s="1" t="str">
        <f>Table4[[#This Row],[NRPS]]</f>
        <v>-</v>
      </c>
      <c r="AK61" s="1" t="str">
        <f>Table4[[#This Row],[T1PKS]]</f>
        <v>-</v>
      </c>
      <c r="AL61" s="1">
        <f>Table4[[#This Row],[NRPS, T1PKS]]</f>
        <v>1</v>
      </c>
      <c r="AM61" s="1" t="str">
        <f>Table4[[#This Row],[Terpene]]</f>
        <v>-</v>
      </c>
      <c r="AN61" s="25">
        <f t="shared" si="2"/>
        <v>0</v>
      </c>
      <c r="AO61" s="25">
        <f t="shared" si="3"/>
        <v>0</v>
      </c>
    </row>
    <row r="62" spans="1:41" x14ac:dyDescent="0.25">
      <c r="A62" s="9" t="s">
        <v>920</v>
      </c>
      <c r="B62" s="2" t="s">
        <v>224</v>
      </c>
      <c r="C62" s="2" t="s">
        <v>905</v>
      </c>
      <c r="D62" s="27">
        <v>831926</v>
      </c>
      <c r="E62" s="5">
        <v>1</v>
      </c>
      <c r="F62" s="5" t="s">
        <v>192</v>
      </c>
      <c r="G62" s="5" t="s">
        <v>192</v>
      </c>
      <c r="H62" s="5" t="s">
        <v>192</v>
      </c>
      <c r="I62" s="5">
        <v>1</v>
      </c>
      <c r="J62" s="5" t="s">
        <v>192</v>
      </c>
      <c r="K62" s="5" t="s">
        <v>192</v>
      </c>
      <c r="L62" s="5" t="s">
        <v>192</v>
      </c>
      <c r="M62" s="5" t="s">
        <v>192</v>
      </c>
      <c r="N62" s="5" t="s">
        <v>192</v>
      </c>
      <c r="O62" s="5" t="s">
        <v>192</v>
      </c>
      <c r="P62" s="5" t="s">
        <v>192</v>
      </c>
      <c r="Q62" s="5" t="s">
        <v>192</v>
      </c>
      <c r="R62" s="5" t="s">
        <v>192</v>
      </c>
      <c r="S62" s="9" t="s">
        <v>192</v>
      </c>
      <c r="T62" s="9">
        <v>1</v>
      </c>
      <c r="U62" s="9" t="s">
        <v>192</v>
      </c>
      <c r="V62" s="9" t="s">
        <v>192</v>
      </c>
      <c r="W62" s="9" t="s">
        <v>192</v>
      </c>
      <c r="X62" s="9" t="s">
        <v>192</v>
      </c>
      <c r="Y62" s="9" t="s">
        <v>192</v>
      </c>
      <c r="Z62" s="9" t="s">
        <v>192</v>
      </c>
      <c r="AA62" s="9" t="s">
        <v>192</v>
      </c>
      <c r="AB62" s="9" t="s">
        <v>192</v>
      </c>
      <c r="AC62" s="9" t="s">
        <v>192</v>
      </c>
      <c r="AD62" s="9" t="s">
        <v>192</v>
      </c>
      <c r="AE62" s="9" t="s">
        <v>192</v>
      </c>
      <c r="AF62" s="38">
        <f>SUM(Table4[[#This Row],[Bacteriocin]:[T1PKS]])</f>
        <v>3</v>
      </c>
      <c r="AG62" s="9" t="s">
        <v>273</v>
      </c>
      <c r="AH62" s="9"/>
      <c r="AI62" s="3"/>
      <c r="AJ62" s="1" t="str">
        <f>Table4[[#This Row],[NRPS]]</f>
        <v>-</v>
      </c>
      <c r="AK62" s="1" t="str">
        <f>Table4[[#This Row],[T1PKS]]</f>
        <v>-</v>
      </c>
      <c r="AL62" s="1" t="str">
        <f>Table4[[#This Row],[NRPS, T1PKS]]</f>
        <v>-</v>
      </c>
      <c r="AM62" s="1" t="str">
        <f>Table4[[#This Row],[Terpene]]</f>
        <v>-</v>
      </c>
      <c r="AN62" s="25">
        <f t="shared" si="2"/>
        <v>1</v>
      </c>
      <c r="AO62" s="25">
        <f t="shared" si="3"/>
        <v>2</v>
      </c>
    </row>
    <row r="63" spans="1:41" x14ac:dyDescent="0.25">
      <c r="A63" s="9" t="s">
        <v>648</v>
      </c>
      <c r="B63" s="2" t="s">
        <v>231</v>
      </c>
      <c r="C63" s="2" t="s">
        <v>906</v>
      </c>
      <c r="D63" s="27">
        <v>76644</v>
      </c>
      <c r="E63" s="5" t="s">
        <v>192</v>
      </c>
      <c r="F63" s="5" t="s">
        <v>192</v>
      </c>
      <c r="G63" s="5" t="s">
        <v>192</v>
      </c>
      <c r="H63" s="5" t="s">
        <v>192</v>
      </c>
      <c r="I63" s="5" t="s">
        <v>192</v>
      </c>
      <c r="J63" s="5" t="s">
        <v>192</v>
      </c>
      <c r="K63" s="5" t="s">
        <v>192</v>
      </c>
      <c r="L63" s="5" t="s">
        <v>192</v>
      </c>
      <c r="M63" s="5" t="s">
        <v>192</v>
      </c>
      <c r="N63" s="5" t="s">
        <v>192</v>
      </c>
      <c r="O63" s="5" t="s">
        <v>192</v>
      </c>
      <c r="P63" s="5" t="s">
        <v>192</v>
      </c>
      <c r="Q63" s="5" t="s">
        <v>192</v>
      </c>
      <c r="R63" s="5" t="s">
        <v>192</v>
      </c>
      <c r="S63" s="9" t="s">
        <v>192</v>
      </c>
      <c r="T63" s="9" t="s">
        <v>192</v>
      </c>
      <c r="U63" s="9">
        <v>1</v>
      </c>
      <c r="V63" s="9" t="s">
        <v>192</v>
      </c>
      <c r="W63" s="9" t="s">
        <v>192</v>
      </c>
      <c r="X63" s="9" t="s">
        <v>192</v>
      </c>
      <c r="Y63" s="9" t="s">
        <v>192</v>
      </c>
      <c r="Z63" s="9" t="s">
        <v>192</v>
      </c>
      <c r="AA63" s="9" t="s">
        <v>192</v>
      </c>
      <c r="AB63" s="9" t="s">
        <v>192</v>
      </c>
      <c r="AC63" s="9" t="s">
        <v>192</v>
      </c>
      <c r="AD63" s="9" t="s">
        <v>192</v>
      </c>
      <c r="AE63" s="9" t="s">
        <v>192</v>
      </c>
      <c r="AF63" s="38">
        <f>SUM(Table4[[#This Row],[Bacteriocin]:[T1PKS]])</f>
        <v>1</v>
      </c>
      <c r="AG63" s="9" t="s">
        <v>192</v>
      </c>
      <c r="AH63" s="9"/>
      <c r="AI63" s="3"/>
      <c r="AJ63" s="1">
        <f>Table4[[#This Row],[NRPS]]</f>
        <v>1</v>
      </c>
      <c r="AK63" s="1" t="str">
        <f>Table4[[#This Row],[T1PKS]]</f>
        <v>-</v>
      </c>
      <c r="AL63" s="1" t="str">
        <f>Table4[[#This Row],[NRPS, T1PKS]]</f>
        <v>-</v>
      </c>
      <c r="AM63" s="1" t="str">
        <f>Table4[[#This Row],[Terpene]]</f>
        <v>-</v>
      </c>
      <c r="AN63" s="25">
        <f t="shared" si="2"/>
        <v>0</v>
      </c>
      <c r="AO63" s="25">
        <f t="shared" si="3"/>
        <v>0</v>
      </c>
    </row>
    <row r="64" spans="1:41" x14ac:dyDescent="0.25">
      <c r="A64" s="9" t="s">
        <v>637</v>
      </c>
      <c r="B64" s="2" t="s">
        <v>907</v>
      </c>
      <c r="C64" s="2" t="s">
        <v>908</v>
      </c>
      <c r="D64" s="27">
        <v>2442379</v>
      </c>
      <c r="E64" s="5">
        <v>1</v>
      </c>
      <c r="F64" s="5" t="s">
        <v>192</v>
      </c>
      <c r="G64" s="5" t="s">
        <v>192</v>
      </c>
      <c r="H64" s="5" t="s">
        <v>192</v>
      </c>
      <c r="I64" s="5" t="s">
        <v>192</v>
      </c>
      <c r="J64" s="5" t="s">
        <v>192</v>
      </c>
      <c r="K64" s="5" t="s">
        <v>192</v>
      </c>
      <c r="L64" s="5" t="s">
        <v>192</v>
      </c>
      <c r="M64" s="5" t="s">
        <v>192</v>
      </c>
      <c r="N64" s="5" t="s">
        <v>192</v>
      </c>
      <c r="O64" s="5" t="s">
        <v>192</v>
      </c>
      <c r="P64" s="5" t="s">
        <v>192</v>
      </c>
      <c r="Q64" s="5" t="s">
        <v>192</v>
      </c>
      <c r="R64" s="5" t="s">
        <v>192</v>
      </c>
      <c r="S64" s="2" t="s">
        <v>192</v>
      </c>
      <c r="T64" s="2" t="s">
        <v>192</v>
      </c>
      <c r="U64" s="2" t="s">
        <v>192</v>
      </c>
      <c r="V64" s="2" t="s">
        <v>192</v>
      </c>
      <c r="W64" s="2" t="s">
        <v>192</v>
      </c>
      <c r="X64" s="2" t="s">
        <v>192</v>
      </c>
      <c r="Y64" s="2" t="s">
        <v>192</v>
      </c>
      <c r="Z64" s="2" t="s">
        <v>192</v>
      </c>
      <c r="AA64" s="2" t="s">
        <v>192</v>
      </c>
      <c r="AB64" s="2" t="s">
        <v>192</v>
      </c>
      <c r="AC64" s="2" t="s">
        <v>192</v>
      </c>
      <c r="AD64" s="2" t="s">
        <v>192</v>
      </c>
      <c r="AE64" s="2" t="s">
        <v>192</v>
      </c>
      <c r="AF64" s="38">
        <f>SUM(Table4[[#This Row],[Bacteriocin]:[T1PKS]])</f>
        <v>1</v>
      </c>
      <c r="AG64" s="2" t="s">
        <v>192</v>
      </c>
      <c r="AH64" s="36"/>
      <c r="AJ64" s="1" t="str">
        <f>Table4[[#This Row],[NRPS]]</f>
        <v>-</v>
      </c>
      <c r="AK64" s="1" t="str">
        <f>Table4[[#This Row],[T1PKS]]</f>
        <v>-</v>
      </c>
      <c r="AL64" s="1" t="str">
        <f>Table4[[#This Row],[NRPS, T1PKS]]</f>
        <v>-</v>
      </c>
      <c r="AM64" s="1" t="str">
        <f>Table4[[#This Row],[Terpene]]</f>
        <v>-</v>
      </c>
      <c r="AN64" s="25">
        <f t="shared" si="2"/>
        <v>1</v>
      </c>
      <c r="AO64" s="25">
        <f t="shared" si="3"/>
        <v>0</v>
      </c>
    </row>
    <row r="65" spans="1:41" x14ac:dyDescent="0.25">
      <c r="A65" s="9" t="s">
        <v>822</v>
      </c>
      <c r="B65" s="2" t="s">
        <v>224</v>
      </c>
      <c r="C65" s="2" t="s">
        <v>909</v>
      </c>
      <c r="D65" s="27">
        <v>143540</v>
      </c>
      <c r="E65" s="5">
        <v>1</v>
      </c>
      <c r="F65" s="5" t="s">
        <v>192</v>
      </c>
      <c r="G65" s="5" t="s">
        <v>192</v>
      </c>
      <c r="H65" s="5" t="s">
        <v>192</v>
      </c>
      <c r="I65" s="5" t="s">
        <v>192</v>
      </c>
      <c r="J65" s="5" t="s">
        <v>192</v>
      </c>
      <c r="K65" s="5" t="s">
        <v>192</v>
      </c>
      <c r="L65" s="5" t="s">
        <v>192</v>
      </c>
      <c r="M65" s="5" t="s">
        <v>192</v>
      </c>
      <c r="N65" s="5" t="s">
        <v>192</v>
      </c>
      <c r="O65" s="5" t="s">
        <v>192</v>
      </c>
      <c r="P65" s="5" t="s">
        <v>192</v>
      </c>
      <c r="Q65" s="5" t="s">
        <v>192</v>
      </c>
      <c r="R65" s="5" t="s">
        <v>192</v>
      </c>
      <c r="S65" s="9" t="s">
        <v>192</v>
      </c>
      <c r="T65" s="9" t="s">
        <v>192</v>
      </c>
      <c r="U65" s="9" t="s">
        <v>192</v>
      </c>
      <c r="V65" s="9" t="s">
        <v>192</v>
      </c>
      <c r="W65" s="9" t="s">
        <v>192</v>
      </c>
      <c r="X65" s="9" t="s">
        <v>192</v>
      </c>
      <c r="Y65" s="9" t="s">
        <v>192</v>
      </c>
      <c r="Z65" s="9" t="s">
        <v>192</v>
      </c>
      <c r="AA65" s="9" t="s">
        <v>192</v>
      </c>
      <c r="AB65" s="9" t="s">
        <v>192</v>
      </c>
      <c r="AC65" s="9" t="s">
        <v>192</v>
      </c>
      <c r="AD65" s="9" t="s">
        <v>192</v>
      </c>
      <c r="AE65" s="9" t="s">
        <v>192</v>
      </c>
      <c r="AF65" s="38">
        <f>SUM(Table4[[#This Row],[Bacteriocin]:[T1PKS]])</f>
        <v>1</v>
      </c>
      <c r="AG65" s="9" t="s">
        <v>192</v>
      </c>
      <c r="AH65" s="9"/>
      <c r="AJ65" s="1" t="str">
        <f>Table4[[#This Row],[NRPS]]</f>
        <v>-</v>
      </c>
      <c r="AK65" s="1" t="str">
        <f>Table4[[#This Row],[T1PKS]]</f>
        <v>-</v>
      </c>
      <c r="AL65" s="1" t="str">
        <f>Table4[[#This Row],[NRPS, T1PKS]]</f>
        <v>-</v>
      </c>
      <c r="AM65" s="1" t="str">
        <f>Table4[[#This Row],[Terpene]]</f>
        <v>-</v>
      </c>
      <c r="AN65" s="25">
        <f t="shared" si="2"/>
        <v>1</v>
      </c>
      <c r="AO65" s="25">
        <f t="shared" si="3"/>
        <v>0</v>
      </c>
    </row>
    <row r="66" spans="1:41" x14ac:dyDescent="0.25">
      <c r="A66" s="9" t="s">
        <v>823</v>
      </c>
      <c r="B66" s="2" t="s">
        <v>224</v>
      </c>
      <c r="C66" s="2" t="s">
        <v>910</v>
      </c>
      <c r="D66" s="27">
        <v>138469</v>
      </c>
      <c r="E66" s="5" t="s">
        <v>192</v>
      </c>
      <c r="F66" s="5" t="s">
        <v>192</v>
      </c>
      <c r="G66" s="5" t="s">
        <v>192</v>
      </c>
      <c r="H66" s="5" t="s">
        <v>192</v>
      </c>
      <c r="I66" s="5" t="s">
        <v>192</v>
      </c>
      <c r="J66" s="5" t="s">
        <v>192</v>
      </c>
      <c r="K66" s="5" t="s">
        <v>192</v>
      </c>
      <c r="L66" s="5" t="s">
        <v>192</v>
      </c>
      <c r="M66" s="5" t="s">
        <v>192</v>
      </c>
      <c r="N66" s="5" t="s">
        <v>192</v>
      </c>
      <c r="O66" s="5" t="s">
        <v>192</v>
      </c>
      <c r="P66" s="5" t="s">
        <v>192</v>
      </c>
      <c r="Q66" s="5" t="s">
        <v>192</v>
      </c>
      <c r="R66" s="5" t="s">
        <v>192</v>
      </c>
      <c r="S66" s="9" t="s">
        <v>192</v>
      </c>
      <c r="T66" s="9" t="s">
        <v>192</v>
      </c>
      <c r="U66" s="9" t="s">
        <v>192</v>
      </c>
      <c r="V66" s="9" t="s">
        <v>192</v>
      </c>
      <c r="W66" s="9" t="s">
        <v>192</v>
      </c>
      <c r="X66" s="9" t="s">
        <v>192</v>
      </c>
      <c r="Y66" s="9" t="s">
        <v>192</v>
      </c>
      <c r="Z66" s="9" t="s">
        <v>192</v>
      </c>
      <c r="AA66" s="9">
        <v>1</v>
      </c>
      <c r="AB66" s="9" t="s">
        <v>192</v>
      </c>
      <c r="AC66" s="9" t="s">
        <v>192</v>
      </c>
      <c r="AD66" s="9" t="s">
        <v>192</v>
      </c>
      <c r="AE66" s="9" t="s">
        <v>192</v>
      </c>
      <c r="AF66" s="38">
        <f>SUM(Table4[[#This Row],[Bacteriocin]:[T1PKS]])</f>
        <v>1</v>
      </c>
      <c r="AG66" s="9" t="s">
        <v>192</v>
      </c>
      <c r="AH66" s="9"/>
      <c r="AJ66" s="1" t="str">
        <f>Table4[[#This Row],[NRPS]]</f>
        <v>-</v>
      </c>
      <c r="AK66" s="1" t="str">
        <f>Table4[[#This Row],[T1PKS]]</f>
        <v>-</v>
      </c>
      <c r="AL66" s="1" t="str">
        <f>Table4[[#This Row],[NRPS, T1PKS]]</f>
        <v>-</v>
      </c>
      <c r="AM66" s="1" t="str">
        <f>Table4[[#This Row],[Terpene]]</f>
        <v>-</v>
      </c>
      <c r="AN66" s="25">
        <f t="shared" ref="AN66:AN73" si="4">SUM(AD66,S66,R66,Q66,P66,K66,L66,G66,F66,E66)</f>
        <v>0</v>
      </c>
      <c r="AO66" s="25">
        <f t="shared" ref="AO66:AO73" si="5">SUM(AC66,AA66,Z66,Y66,W66,V66,T66,O66,N66,M66,J66,I66,H66)</f>
        <v>1</v>
      </c>
    </row>
    <row r="67" spans="1:41" x14ac:dyDescent="0.25">
      <c r="A67" s="9" t="s">
        <v>824</v>
      </c>
      <c r="B67" s="9" t="s">
        <v>597</v>
      </c>
      <c r="C67" s="2" t="s">
        <v>911</v>
      </c>
      <c r="D67" s="28">
        <v>169328</v>
      </c>
      <c r="E67" s="5" t="s">
        <v>192</v>
      </c>
      <c r="F67" s="5" t="s">
        <v>192</v>
      </c>
      <c r="G67" s="5" t="s">
        <v>192</v>
      </c>
      <c r="H67" s="5" t="s">
        <v>192</v>
      </c>
      <c r="I67" s="5" t="s">
        <v>192</v>
      </c>
      <c r="J67" s="5" t="s">
        <v>192</v>
      </c>
      <c r="K67" s="5" t="s">
        <v>192</v>
      </c>
      <c r="L67" s="5" t="s">
        <v>192</v>
      </c>
      <c r="M67" s="5" t="s">
        <v>192</v>
      </c>
      <c r="N67" s="5" t="s">
        <v>192</v>
      </c>
      <c r="O67" s="5" t="s">
        <v>192</v>
      </c>
      <c r="P67" s="5" t="s">
        <v>192</v>
      </c>
      <c r="Q67" s="5" t="s">
        <v>192</v>
      </c>
      <c r="R67" s="5" t="s">
        <v>192</v>
      </c>
      <c r="S67" s="9" t="s">
        <v>192</v>
      </c>
      <c r="T67" s="9" t="s">
        <v>192</v>
      </c>
      <c r="U67" s="9" t="s">
        <v>192</v>
      </c>
      <c r="V67" s="9" t="s">
        <v>192</v>
      </c>
      <c r="W67" s="9" t="s">
        <v>192</v>
      </c>
      <c r="X67" s="9" t="s">
        <v>192</v>
      </c>
      <c r="Y67" s="9" t="s">
        <v>192</v>
      </c>
      <c r="Z67" s="9" t="s">
        <v>192</v>
      </c>
      <c r="AA67" s="9">
        <v>1</v>
      </c>
      <c r="AB67" s="9" t="s">
        <v>192</v>
      </c>
      <c r="AC67" s="9" t="s">
        <v>192</v>
      </c>
      <c r="AD67" s="9" t="s">
        <v>192</v>
      </c>
      <c r="AE67" s="9" t="s">
        <v>192</v>
      </c>
      <c r="AF67" s="31">
        <f>SUM(Table4[[#This Row],[Bacteriocin]:[T1PKS]])</f>
        <v>1</v>
      </c>
      <c r="AG67" s="9" t="s">
        <v>192</v>
      </c>
      <c r="AH67" s="9"/>
      <c r="AJ67" s="1" t="str">
        <f>Table4[[#This Row],[NRPS]]</f>
        <v>-</v>
      </c>
      <c r="AK67" s="1" t="str">
        <f>Table4[[#This Row],[T1PKS]]</f>
        <v>-</v>
      </c>
      <c r="AL67" s="1" t="str">
        <f>Table4[[#This Row],[NRPS, T1PKS]]</f>
        <v>-</v>
      </c>
      <c r="AM67" s="1" t="str">
        <f>Table4[[#This Row],[Terpene]]</f>
        <v>-</v>
      </c>
      <c r="AN67" s="25">
        <f t="shared" si="4"/>
        <v>0</v>
      </c>
      <c r="AO67" s="25">
        <f t="shared" si="5"/>
        <v>1</v>
      </c>
    </row>
    <row r="68" spans="1:41" x14ac:dyDescent="0.25">
      <c r="A68" s="9" t="s">
        <v>630</v>
      </c>
      <c r="B68" s="2" t="s">
        <v>387</v>
      </c>
      <c r="C68" s="2" t="s">
        <v>913</v>
      </c>
      <c r="D68" s="27">
        <v>186459</v>
      </c>
      <c r="E68" s="5" t="s">
        <v>192</v>
      </c>
      <c r="F68" s="5" t="s">
        <v>192</v>
      </c>
      <c r="G68" s="5" t="s">
        <v>192</v>
      </c>
      <c r="H68" s="5" t="s">
        <v>192</v>
      </c>
      <c r="I68" s="5" t="s">
        <v>192</v>
      </c>
      <c r="J68" s="5" t="s">
        <v>192</v>
      </c>
      <c r="K68" s="5" t="s">
        <v>192</v>
      </c>
      <c r="L68" s="5" t="s">
        <v>192</v>
      </c>
      <c r="M68" s="5" t="s">
        <v>192</v>
      </c>
      <c r="N68" s="5" t="s">
        <v>192</v>
      </c>
      <c r="O68" s="5" t="s">
        <v>192</v>
      </c>
      <c r="P68" s="5" t="s">
        <v>192</v>
      </c>
      <c r="Q68" s="5" t="s">
        <v>192</v>
      </c>
      <c r="R68" s="5" t="s">
        <v>192</v>
      </c>
      <c r="S68" s="2" t="s">
        <v>192</v>
      </c>
      <c r="T68" s="2" t="s">
        <v>192</v>
      </c>
      <c r="U68" s="2" t="s">
        <v>192</v>
      </c>
      <c r="V68" s="2" t="s">
        <v>192</v>
      </c>
      <c r="W68" s="2" t="s">
        <v>192</v>
      </c>
      <c r="X68" s="2" t="s">
        <v>192</v>
      </c>
      <c r="Y68" s="2" t="s">
        <v>192</v>
      </c>
      <c r="Z68" s="2" t="s">
        <v>192</v>
      </c>
      <c r="AA68" s="2">
        <v>1</v>
      </c>
      <c r="AB68" s="2" t="s">
        <v>192</v>
      </c>
      <c r="AC68" s="2" t="s">
        <v>192</v>
      </c>
      <c r="AD68" s="2" t="s">
        <v>192</v>
      </c>
      <c r="AE68" s="2" t="s">
        <v>192</v>
      </c>
      <c r="AF68" s="38">
        <f>SUM(Table4[[#This Row],[Bacteriocin]:[T1PKS]])</f>
        <v>1</v>
      </c>
      <c r="AG68" s="2" t="s">
        <v>192</v>
      </c>
      <c r="AH68" s="36"/>
      <c r="AJ68" s="1" t="str">
        <f>Table4[[#This Row],[NRPS]]</f>
        <v>-</v>
      </c>
      <c r="AK68" s="1" t="str">
        <f>Table4[[#This Row],[T1PKS]]</f>
        <v>-</v>
      </c>
      <c r="AL68" s="1" t="str">
        <f>Table4[[#This Row],[NRPS, T1PKS]]</f>
        <v>-</v>
      </c>
      <c r="AM68" s="1" t="str">
        <f>Table4[[#This Row],[Terpene]]</f>
        <v>-</v>
      </c>
      <c r="AN68" s="25">
        <f t="shared" si="4"/>
        <v>0</v>
      </c>
      <c r="AO68" s="25">
        <f t="shared" si="5"/>
        <v>1</v>
      </c>
    </row>
    <row r="69" spans="1:41" x14ac:dyDescent="0.25">
      <c r="A69" s="9" t="s">
        <v>646</v>
      </c>
      <c r="B69" s="2" t="s">
        <v>394</v>
      </c>
      <c r="C69" s="2" t="s">
        <v>912</v>
      </c>
      <c r="D69" s="27">
        <v>264782</v>
      </c>
      <c r="E69" s="5" t="s">
        <v>192</v>
      </c>
      <c r="F69" s="5" t="s">
        <v>192</v>
      </c>
      <c r="G69" s="5" t="s">
        <v>192</v>
      </c>
      <c r="H69" s="5" t="s">
        <v>192</v>
      </c>
      <c r="I69" s="5" t="s">
        <v>192</v>
      </c>
      <c r="J69" s="5" t="s">
        <v>192</v>
      </c>
      <c r="K69" s="5" t="s">
        <v>192</v>
      </c>
      <c r="L69" s="5" t="s">
        <v>192</v>
      </c>
      <c r="M69" s="5" t="s">
        <v>192</v>
      </c>
      <c r="N69" s="5" t="s">
        <v>192</v>
      </c>
      <c r="O69" s="5" t="s">
        <v>192</v>
      </c>
      <c r="P69" s="5" t="s">
        <v>192</v>
      </c>
      <c r="Q69" s="5" t="s">
        <v>192</v>
      </c>
      <c r="R69" s="5" t="s">
        <v>192</v>
      </c>
      <c r="S69" s="9" t="s">
        <v>192</v>
      </c>
      <c r="T69" s="9" t="s">
        <v>192</v>
      </c>
      <c r="U69" s="9" t="s">
        <v>192</v>
      </c>
      <c r="V69" s="9" t="s">
        <v>192</v>
      </c>
      <c r="W69" s="9" t="s">
        <v>192</v>
      </c>
      <c r="X69" s="9" t="s">
        <v>192</v>
      </c>
      <c r="Y69" s="9" t="s">
        <v>192</v>
      </c>
      <c r="Z69" s="9" t="s">
        <v>192</v>
      </c>
      <c r="AA69" s="9">
        <v>1</v>
      </c>
      <c r="AB69" s="9" t="s">
        <v>192</v>
      </c>
      <c r="AC69" s="9" t="s">
        <v>192</v>
      </c>
      <c r="AD69" s="9" t="s">
        <v>192</v>
      </c>
      <c r="AE69" s="9" t="s">
        <v>192</v>
      </c>
      <c r="AF69" s="38">
        <f>SUM(Table4[[#This Row],[Bacteriocin]:[T1PKS]])</f>
        <v>1</v>
      </c>
      <c r="AG69" s="9" t="s">
        <v>192</v>
      </c>
      <c r="AH69" s="9"/>
      <c r="AJ69" s="1" t="str">
        <f>Table4[[#This Row],[NRPS]]</f>
        <v>-</v>
      </c>
      <c r="AK69" s="1" t="str">
        <f>Table4[[#This Row],[T1PKS]]</f>
        <v>-</v>
      </c>
      <c r="AL69" s="1" t="str">
        <f>Table4[[#This Row],[NRPS, T1PKS]]</f>
        <v>-</v>
      </c>
      <c r="AM69" s="1" t="str">
        <f>Table4[[#This Row],[Terpene]]</f>
        <v>-</v>
      </c>
      <c r="AN69" s="25">
        <f t="shared" si="4"/>
        <v>0</v>
      </c>
      <c r="AO69" s="25">
        <f t="shared" si="5"/>
        <v>1</v>
      </c>
    </row>
    <row r="70" spans="1:41" x14ac:dyDescent="0.25">
      <c r="A70" s="9" t="s">
        <v>740</v>
      </c>
      <c r="B70" s="2" t="s">
        <v>290</v>
      </c>
      <c r="C70" s="2" t="s">
        <v>914</v>
      </c>
      <c r="D70" s="5">
        <v>504942</v>
      </c>
      <c r="E70" s="5" t="s">
        <v>192</v>
      </c>
      <c r="F70" s="5" t="s">
        <v>192</v>
      </c>
      <c r="G70" s="5" t="s">
        <v>192</v>
      </c>
      <c r="H70" s="5" t="s">
        <v>192</v>
      </c>
      <c r="I70" s="5" t="s">
        <v>192</v>
      </c>
      <c r="J70" s="5" t="s">
        <v>192</v>
      </c>
      <c r="K70" s="5" t="s">
        <v>192</v>
      </c>
      <c r="L70" s="5" t="s">
        <v>192</v>
      </c>
      <c r="M70" s="5" t="s">
        <v>192</v>
      </c>
      <c r="N70" s="5" t="s">
        <v>192</v>
      </c>
      <c r="O70" s="5" t="s">
        <v>192</v>
      </c>
      <c r="P70" s="5" t="s">
        <v>192</v>
      </c>
      <c r="Q70" s="5" t="s">
        <v>192</v>
      </c>
      <c r="R70" s="5" t="s">
        <v>192</v>
      </c>
      <c r="S70" s="2" t="s">
        <v>192</v>
      </c>
      <c r="T70" s="2" t="s">
        <v>192</v>
      </c>
      <c r="U70" s="2" t="s">
        <v>192</v>
      </c>
      <c r="V70" s="2" t="s">
        <v>192</v>
      </c>
      <c r="W70" s="2" t="s">
        <v>192</v>
      </c>
      <c r="X70" s="2">
        <v>1</v>
      </c>
      <c r="Y70" s="2" t="s">
        <v>192</v>
      </c>
      <c r="Z70" s="2" t="s">
        <v>192</v>
      </c>
      <c r="AA70" s="2" t="s">
        <v>192</v>
      </c>
      <c r="AB70" s="2" t="s">
        <v>192</v>
      </c>
      <c r="AC70" s="2" t="s">
        <v>192</v>
      </c>
      <c r="AD70" s="2" t="s">
        <v>192</v>
      </c>
      <c r="AE70" s="2" t="s">
        <v>192</v>
      </c>
      <c r="AF70" s="38">
        <f>SUM(Table4[[#This Row],[Bacteriocin]:[T1PKS]])</f>
        <v>1</v>
      </c>
      <c r="AG70" s="9" t="s">
        <v>192</v>
      </c>
      <c r="AH70" s="9"/>
      <c r="AJ70" s="1" t="str">
        <f>Table4[[#This Row],[NRPS]]</f>
        <v>-</v>
      </c>
      <c r="AK70" s="1" t="str">
        <f>Table4[[#This Row],[T1PKS]]</f>
        <v>-</v>
      </c>
      <c r="AL70" s="1">
        <f>Table4[[#This Row],[NRPS, T1PKS]]</f>
        <v>1</v>
      </c>
      <c r="AM70" s="1" t="str">
        <f>Table4[[#This Row],[Terpene]]</f>
        <v>-</v>
      </c>
      <c r="AN70" s="25">
        <f t="shared" si="4"/>
        <v>0</v>
      </c>
      <c r="AO70" s="25">
        <f t="shared" si="5"/>
        <v>0</v>
      </c>
    </row>
    <row r="71" spans="1:41" x14ac:dyDescent="0.25">
      <c r="A71" s="9" t="s">
        <v>825</v>
      </c>
      <c r="B71" s="2" t="s">
        <v>224</v>
      </c>
      <c r="C71" s="2" t="s">
        <v>915</v>
      </c>
      <c r="D71" s="27">
        <v>292325</v>
      </c>
      <c r="E71" s="5" t="s">
        <v>192</v>
      </c>
      <c r="F71" s="5" t="s">
        <v>192</v>
      </c>
      <c r="G71" s="5" t="s">
        <v>192</v>
      </c>
      <c r="H71" s="5" t="s">
        <v>192</v>
      </c>
      <c r="I71" s="5" t="s">
        <v>192</v>
      </c>
      <c r="J71" s="5" t="s">
        <v>192</v>
      </c>
      <c r="K71" s="5" t="s">
        <v>192</v>
      </c>
      <c r="L71" s="5" t="s">
        <v>192</v>
      </c>
      <c r="M71" s="5" t="s">
        <v>192</v>
      </c>
      <c r="N71" s="5" t="s">
        <v>192</v>
      </c>
      <c r="O71" s="5" t="s">
        <v>192</v>
      </c>
      <c r="P71" s="5" t="s">
        <v>192</v>
      </c>
      <c r="Q71" s="5" t="s">
        <v>192</v>
      </c>
      <c r="R71" s="5" t="s">
        <v>192</v>
      </c>
      <c r="S71" s="9" t="s">
        <v>192</v>
      </c>
      <c r="T71" s="9" t="s">
        <v>192</v>
      </c>
      <c r="U71" s="9" t="s">
        <v>192</v>
      </c>
      <c r="V71" s="9" t="s">
        <v>192</v>
      </c>
      <c r="W71" s="9" t="s">
        <v>192</v>
      </c>
      <c r="X71" s="9">
        <v>1</v>
      </c>
      <c r="Y71" s="9" t="s">
        <v>192</v>
      </c>
      <c r="Z71" s="9" t="s">
        <v>192</v>
      </c>
      <c r="AA71" s="9" t="s">
        <v>192</v>
      </c>
      <c r="AB71" s="9" t="s">
        <v>192</v>
      </c>
      <c r="AC71" s="9" t="s">
        <v>192</v>
      </c>
      <c r="AD71" s="9" t="s">
        <v>192</v>
      </c>
      <c r="AE71" s="9" t="s">
        <v>192</v>
      </c>
      <c r="AF71" s="38">
        <f>SUM(Table4[[#This Row],[Bacteriocin]:[T1PKS]])</f>
        <v>1</v>
      </c>
      <c r="AG71" s="9" t="s">
        <v>562</v>
      </c>
      <c r="AH71" s="9"/>
      <c r="AJ71" s="1" t="str">
        <f>Table4[[#This Row],[NRPS]]</f>
        <v>-</v>
      </c>
      <c r="AK71" s="1" t="str">
        <f>Table4[[#This Row],[T1PKS]]</f>
        <v>-</v>
      </c>
      <c r="AL71" s="1">
        <f>Table4[[#This Row],[NRPS, T1PKS]]</f>
        <v>1</v>
      </c>
      <c r="AM71" s="1" t="str">
        <f>Table4[[#This Row],[Terpene]]</f>
        <v>-</v>
      </c>
      <c r="AN71" s="25">
        <f t="shared" si="4"/>
        <v>0</v>
      </c>
      <c r="AO71" s="25">
        <f t="shared" si="5"/>
        <v>0</v>
      </c>
    </row>
    <row r="72" spans="1:41" x14ac:dyDescent="0.25">
      <c r="A72" s="9" t="s">
        <v>628</v>
      </c>
      <c r="B72" s="2" t="s">
        <v>236</v>
      </c>
      <c r="C72" s="2" t="s">
        <v>916</v>
      </c>
      <c r="D72" s="27">
        <v>366354</v>
      </c>
      <c r="E72" s="5" t="s">
        <v>192</v>
      </c>
      <c r="F72" s="5" t="s">
        <v>192</v>
      </c>
      <c r="G72" s="5" t="s">
        <v>192</v>
      </c>
      <c r="H72" s="5" t="s">
        <v>192</v>
      </c>
      <c r="I72" s="5" t="s">
        <v>192</v>
      </c>
      <c r="J72" s="5" t="s">
        <v>192</v>
      </c>
      <c r="K72" s="5" t="s">
        <v>192</v>
      </c>
      <c r="L72" s="5" t="s">
        <v>192</v>
      </c>
      <c r="M72" s="5" t="s">
        <v>192</v>
      </c>
      <c r="N72" s="5" t="s">
        <v>192</v>
      </c>
      <c r="O72" s="5" t="s">
        <v>192</v>
      </c>
      <c r="P72" s="5">
        <v>1</v>
      </c>
      <c r="Q72" s="5" t="s">
        <v>192</v>
      </c>
      <c r="R72" s="5" t="s">
        <v>192</v>
      </c>
      <c r="S72" s="2" t="s">
        <v>192</v>
      </c>
      <c r="T72" s="2" t="s">
        <v>192</v>
      </c>
      <c r="U72" s="2" t="s">
        <v>192</v>
      </c>
      <c r="V72" s="2" t="s">
        <v>192</v>
      </c>
      <c r="W72" s="2" t="s">
        <v>192</v>
      </c>
      <c r="X72" s="2" t="s">
        <v>192</v>
      </c>
      <c r="Y72" s="2" t="s">
        <v>192</v>
      </c>
      <c r="Z72" s="2" t="s">
        <v>192</v>
      </c>
      <c r="AA72" s="2" t="s">
        <v>192</v>
      </c>
      <c r="AB72" s="2" t="s">
        <v>192</v>
      </c>
      <c r="AC72" s="2" t="s">
        <v>192</v>
      </c>
      <c r="AD72" s="2" t="s">
        <v>192</v>
      </c>
      <c r="AE72" s="2" t="s">
        <v>192</v>
      </c>
      <c r="AF72" s="38">
        <f>SUM(Table4[[#This Row],[Bacteriocin]:[T1PKS]])</f>
        <v>1</v>
      </c>
      <c r="AG72" s="2" t="s">
        <v>192</v>
      </c>
      <c r="AH72" s="36"/>
      <c r="AJ72" s="1" t="str">
        <f>Table4[[#This Row],[NRPS]]</f>
        <v>-</v>
      </c>
      <c r="AK72" s="1" t="str">
        <f>Table4[[#This Row],[T1PKS]]</f>
        <v>-</v>
      </c>
      <c r="AL72" s="1" t="str">
        <f>Table4[[#This Row],[NRPS, T1PKS]]</f>
        <v>-</v>
      </c>
      <c r="AM72" s="1" t="str">
        <f>Table4[[#This Row],[Terpene]]</f>
        <v>-</v>
      </c>
      <c r="AN72" s="25">
        <f t="shared" si="4"/>
        <v>1</v>
      </c>
      <c r="AO72" s="25">
        <f t="shared" si="5"/>
        <v>0</v>
      </c>
    </row>
    <row r="73" spans="1:41" x14ac:dyDescent="0.25">
      <c r="A73" s="9" t="s">
        <v>628</v>
      </c>
      <c r="B73" s="2" t="s">
        <v>237</v>
      </c>
      <c r="C73" s="2" t="s">
        <v>917</v>
      </c>
      <c r="D73" s="27">
        <v>300758</v>
      </c>
      <c r="E73" s="5" t="s">
        <v>192</v>
      </c>
      <c r="F73" s="5" t="s">
        <v>192</v>
      </c>
      <c r="G73" s="5" t="s">
        <v>192</v>
      </c>
      <c r="H73" s="5" t="s">
        <v>192</v>
      </c>
      <c r="I73" s="5" t="s">
        <v>192</v>
      </c>
      <c r="J73" s="5" t="s">
        <v>192</v>
      </c>
      <c r="K73" s="5" t="s">
        <v>192</v>
      </c>
      <c r="L73" s="5" t="s">
        <v>192</v>
      </c>
      <c r="M73" s="5" t="s">
        <v>192</v>
      </c>
      <c r="N73" s="5" t="s">
        <v>192</v>
      </c>
      <c r="O73" s="5" t="s">
        <v>192</v>
      </c>
      <c r="P73" s="5" t="s">
        <v>192</v>
      </c>
      <c r="Q73" s="5" t="s">
        <v>192</v>
      </c>
      <c r="R73" s="5" t="s">
        <v>192</v>
      </c>
      <c r="S73" s="2" t="s">
        <v>192</v>
      </c>
      <c r="T73" s="2" t="s">
        <v>192</v>
      </c>
      <c r="U73" s="2">
        <v>1</v>
      </c>
      <c r="V73" s="2" t="s">
        <v>192</v>
      </c>
      <c r="W73" s="2" t="s">
        <v>192</v>
      </c>
      <c r="X73" s="2" t="s">
        <v>192</v>
      </c>
      <c r="Y73" s="2" t="s">
        <v>192</v>
      </c>
      <c r="Z73" s="2" t="s">
        <v>192</v>
      </c>
      <c r="AA73" s="2" t="s">
        <v>192</v>
      </c>
      <c r="AB73" s="2" t="s">
        <v>192</v>
      </c>
      <c r="AC73" s="2" t="s">
        <v>192</v>
      </c>
      <c r="AD73" s="2" t="s">
        <v>192</v>
      </c>
      <c r="AE73" s="2" t="s">
        <v>192</v>
      </c>
      <c r="AF73" s="38">
        <f>SUM(Table4[[#This Row],[Bacteriocin]:[T1PKS]])</f>
        <v>1</v>
      </c>
      <c r="AG73" s="2" t="s">
        <v>192</v>
      </c>
      <c r="AH73" s="36"/>
      <c r="AJ73" s="1">
        <f>Table4[[#This Row],[NRPS]]</f>
        <v>1</v>
      </c>
      <c r="AK73" s="1" t="str">
        <f>Table4[[#This Row],[T1PKS]]</f>
        <v>-</v>
      </c>
      <c r="AL73" s="1" t="str">
        <f>Table4[[#This Row],[NRPS, T1PKS]]</f>
        <v>-</v>
      </c>
      <c r="AM73" s="1" t="str">
        <f>Table4[[#This Row],[Terpene]]</f>
        <v>-</v>
      </c>
      <c r="AN73" s="25">
        <f t="shared" si="4"/>
        <v>0</v>
      </c>
      <c r="AO73" s="25">
        <f t="shared" si="5"/>
        <v>0</v>
      </c>
    </row>
    <row r="74" spans="1:41" x14ac:dyDescent="0.25">
      <c r="A74" s="21" t="s">
        <v>779</v>
      </c>
      <c r="B74" s="9" t="s">
        <v>224</v>
      </c>
      <c r="C74" s="9" t="s">
        <v>837</v>
      </c>
      <c r="D74" s="28">
        <v>391340</v>
      </c>
      <c r="E74" s="5" t="s">
        <v>192</v>
      </c>
      <c r="F74" s="5" t="s">
        <v>192</v>
      </c>
      <c r="G74" s="5" t="s">
        <v>192</v>
      </c>
      <c r="H74" s="5" t="s">
        <v>192</v>
      </c>
      <c r="I74" s="5" t="s">
        <v>192</v>
      </c>
      <c r="J74" s="5" t="s">
        <v>192</v>
      </c>
      <c r="K74" s="5" t="s">
        <v>192</v>
      </c>
      <c r="L74" s="5" t="s">
        <v>192</v>
      </c>
      <c r="M74" s="5" t="s">
        <v>192</v>
      </c>
      <c r="N74" s="5" t="s">
        <v>192</v>
      </c>
      <c r="O74" s="5" t="s">
        <v>192</v>
      </c>
      <c r="P74" s="5" t="s">
        <v>192</v>
      </c>
      <c r="Q74" s="5" t="s">
        <v>192</v>
      </c>
      <c r="R74" s="5" t="s">
        <v>192</v>
      </c>
      <c r="S74" s="5">
        <v>1</v>
      </c>
      <c r="T74" s="5" t="s">
        <v>192</v>
      </c>
      <c r="U74" s="5" t="s">
        <v>192</v>
      </c>
      <c r="V74" s="5" t="s">
        <v>192</v>
      </c>
      <c r="W74" s="5" t="s">
        <v>192</v>
      </c>
      <c r="X74" s="5" t="s">
        <v>192</v>
      </c>
      <c r="Y74" s="5" t="s">
        <v>192</v>
      </c>
      <c r="Z74" s="5" t="s">
        <v>192</v>
      </c>
      <c r="AA74" s="5" t="s">
        <v>192</v>
      </c>
      <c r="AB74" s="5" t="s">
        <v>192</v>
      </c>
      <c r="AC74" s="5" t="s">
        <v>192</v>
      </c>
      <c r="AD74" s="5" t="s">
        <v>192</v>
      </c>
      <c r="AE74" s="5" t="s">
        <v>192</v>
      </c>
      <c r="AF74" s="39">
        <f>SUM(Table4[[#This Row],[Bacteriocin]:[T1PKS]])</f>
        <v>1</v>
      </c>
      <c r="AG74" s="5" t="s">
        <v>192</v>
      </c>
      <c r="AH74" s="5"/>
      <c r="AJ74" s="1" t="str">
        <f>Table4[[#This Row],[NRPS]]</f>
        <v>-</v>
      </c>
      <c r="AK74" s="1" t="str">
        <f>Table4[[#This Row],[T1PKS]]</f>
        <v>-</v>
      </c>
      <c r="AL74" s="1" t="str">
        <f>Table4[[#This Row],[NRPS, T1PKS]]</f>
        <v>-</v>
      </c>
      <c r="AM74" s="1" t="str">
        <f>Table4[[#This Row],[Terpene]]</f>
        <v>-</v>
      </c>
      <c r="AN74" s="25">
        <f>SUM(AD74,S74,R74,Q74,P74,K74,L74,G74,F74,E74)</f>
        <v>1</v>
      </c>
      <c r="AO74" s="25">
        <f>SUM(AC74,AA74,Z74,Y74,W74,V74,T74,O74,N74,M74,J74,I74,H74)</f>
        <v>0</v>
      </c>
    </row>
    <row r="75" spans="1:41" x14ac:dyDescent="0.25">
      <c r="A75" s="23" t="s">
        <v>810</v>
      </c>
      <c r="B75" s="9"/>
      <c r="C75" s="9"/>
      <c r="D75" s="15"/>
      <c r="E75" s="13">
        <f>SUM(Table4[Bacteriocin])</f>
        <v>15</v>
      </c>
      <c r="F75" s="13">
        <f>SUM(Table4[Bacteriocin, Lanthipeptide])</f>
        <v>2</v>
      </c>
      <c r="G75" s="13">
        <f>SUM(Table4[Bacteriocin, lassopeptide])</f>
        <v>1</v>
      </c>
      <c r="H75" s="13">
        <f>SUM(Table4[Bacteriocin, NRPS, other, T1PKS])</f>
        <v>1</v>
      </c>
      <c r="I75" s="13">
        <f>SUM(Table4[Betalactone, NRPS, T1PKS])</f>
        <v>1</v>
      </c>
      <c r="J75" s="13">
        <f>SUM(Table4[Bacteriocin, TfaA-related])</f>
        <v>1</v>
      </c>
      <c r="K75" s="13">
        <f>SUM(Table4[Cyanobactin])</f>
        <v>2</v>
      </c>
      <c r="L75" s="13">
        <f>SUM(Table4[Cyanobactin, LAP])</f>
        <v>1</v>
      </c>
      <c r="M75" s="13">
        <f>SUM(Table4[Ectoine])</f>
        <v>1</v>
      </c>
      <c r="N75" s="13">
        <f>SUM(Table4[hglE-KS, NRPS, resorcinol, T1PKS])</f>
        <v>1</v>
      </c>
      <c r="O75" s="13">
        <f>SUM(Table4[Indole])</f>
        <v>1</v>
      </c>
      <c r="P75" s="13">
        <f>SUM(Table4[Lanthipeptide])</f>
        <v>1</v>
      </c>
      <c r="Q75" s="13">
        <f>SUM(Table4[LAP])</f>
        <v>2</v>
      </c>
      <c r="R75" s="13">
        <f>SUM(Table4[Lassopeptide])</f>
        <v>1</v>
      </c>
      <c r="S75" s="13">
        <f>SUM(Table4[Microviridin])</f>
        <v>3</v>
      </c>
      <c r="T75" s="13">
        <f>SUM(Table4[Microviridin, NRPS, T1PKS])</f>
        <v>2</v>
      </c>
      <c r="U75" s="13">
        <f>SUM(Table4[NRPS])</f>
        <v>20</v>
      </c>
      <c r="V75" s="13">
        <f>SUM(Table4[NRPS, terpene])</f>
        <v>1</v>
      </c>
      <c r="W75" s="13">
        <f>SUM(Table4[NRPS, transAT-PKS-like, T1PKS])</f>
        <v>2</v>
      </c>
      <c r="X75" s="13">
        <f>SUM(Table4[NRPS, T1PKS])</f>
        <v>26</v>
      </c>
      <c r="Y75" s="13">
        <f>SUM(Table4[Nucleoside])</f>
        <v>1</v>
      </c>
      <c r="Z75" s="13">
        <f>SUM(Table4[Resorcinol])</f>
        <v>1</v>
      </c>
      <c r="AA75" s="13">
        <f>SUM(Table4[Siderophore])</f>
        <v>4</v>
      </c>
      <c r="AB75" s="13">
        <f>SUM(Table4[Terpene])</f>
        <v>3</v>
      </c>
      <c r="AC75" s="13">
        <f>SUM(Table4[TfuA-relate, thipeptide])</f>
        <v>1</v>
      </c>
      <c r="AD75" s="13">
        <f>SUM(Table4[Thiopeptide])</f>
        <v>1</v>
      </c>
      <c r="AE75" s="13">
        <f>SUM(Table4[T1PKS])</f>
        <v>3</v>
      </c>
      <c r="AF75" s="40">
        <f>SUM(Table4[Total BGCs])</f>
        <v>99</v>
      </c>
      <c r="AG75" s="9"/>
      <c r="AH75" s="9"/>
      <c r="AJ75" s="37">
        <f>SUM(Tabela3[NRPS])</f>
        <v>20</v>
      </c>
      <c r="AK75" s="37">
        <f>SUM(Tabela3[PKS])</f>
        <v>3</v>
      </c>
      <c r="AL75" s="37">
        <f>SUM(Tabela3[NRPS/PKS])</f>
        <v>26</v>
      </c>
      <c r="AM75" s="37">
        <f>SUM(Tabela3[Terpene])</f>
        <v>3</v>
      </c>
      <c r="AN75" s="37">
        <f>SUM(Tabela3[RIPPs])</f>
        <v>29</v>
      </c>
      <c r="AO75" s="37">
        <f>SUM(Tabela3[Others])</f>
        <v>18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Genomes</vt:lpstr>
      <vt:lpstr>Chromosomes</vt:lpstr>
      <vt:lpstr>Plasmids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Rafael Popin</cp:lastModifiedBy>
  <dcterms:created xsi:type="dcterms:W3CDTF">2019-03-27T07:10:43Z</dcterms:created>
  <dcterms:modified xsi:type="dcterms:W3CDTF">2020-11-18T09:02:05Z</dcterms:modified>
</cp:coreProperties>
</file>